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erreira.DCNR\Desktop\"/>
    </mc:Choice>
  </mc:AlternateContent>
  <xr:revisionPtr revIDLastSave="0" documentId="8_{9C52B7B5-17DB-4D3E-BD74-92EB2186F08E}" xr6:coauthVersionLast="47" xr6:coauthVersionMax="47" xr10:uidLastSave="{00000000-0000-0000-0000-000000000000}"/>
  <bookViews>
    <workbookView xWindow="-120" yWindow="-120" windowWidth="29040" windowHeight="15840" xr2:uid="{DEFBA001-77D1-4C36-B28C-0C5A32673434}"/>
  </bookViews>
  <sheets>
    <sheet name="Instructions" sheetId="24" r:id="rId1"/>
    <sheet name="Constants" sheetId="15" r:id="rId2"/>
    <sheet name="Minimum Compliance" sheetId="13" r:id="rId3"/>
    <sheet name="Anticipated Compliance" sheetId="16" r:id="rId4"/>
    <sheet name="BAU" sheetId="19" r:id="rId5"/>
    <sheet name="Scenarios Minus BAU" sheetId="22" r:id="rId6"/>
    <sheet name="Graphics" sheetId="21" r:id="rId7"/>
  </sheets>
  <calcPr calcId="191028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6" i="16" l="1"/>
  <c r="O6" i="13"/>
  <c r="P6" i="13"/>
  <c r="R6" i="13"/>
  <c r="S6" i="13"/>
  <c r="X6" i="13"/>
  <c r="Y6" i="13"/>
  <c r="Z6" i="13"/>
  <c r="AN6" i="13"/>
  <c r="AF13" i="19"/>
  <c r="AG13" i="19"/>
  <c r="AF31" i="19"/>
  <c r="AG31" i="19"/>
  <c r="AF49" i="19"/>
  <c r="AG49" i="19"/>
  <c r="AX13" i="19"/>
  <c r="AG14" i="19"/>
  <c r="AG32" i="19"/>
  <c r="AG50" i="19"/>
  <c r="AX14" i="19"/>
  <c r="AG15" i="19"/>
  <c r="AG33" i="19"/>
  <c r="AG51" i="19"/>
  <c r="AX15" i="19"/>
  <c r="AG16" i="19"/>
  <c r="AG34" i="19"/>
  <c r="AG52" i="19"/>
  <c r="AX16" i="19"/>
  <c r="AG17" i="19"/>
  <c r="AG35" i="19"/>
  <c r="AG53" i="19"/>
  <c r="AX17" i="19"/>
  <c r="AG18" i="19"/>
  <c r="AG36" i="19"/>
  <c r="AG54" i="19"/>
  <c r="AX18" i="19"/>
  <c r="AM7" i="19"/>
  <c r="AN7" i="19"/>
  <c r="AM6" i="19"/>
  <c r="AN6" i="19"/>
  <c r="AO6" i="19"/>
  <c r="AO7" i="19"/>
  <c r="AM25" i="19"/>
  <c r="AN25" i="19"/>
  <c r="AM24" i="19"/>
  <c r="AN24" i="19"/>
  <c r="AO24" i="19"/>
  <c r="AO25" i="19"/>
  <c r="AM43" i="19"/>
  <c r="AN43" i="19"/>
  <c r="AM42" i="19"/>
  <c r="AN42" i="19"/>
  <c r="AO42" i="19"/>
  <c r="AO43" i="19"/>
  <c r="AV7" i="19"/>
  <c r="AM8" i="19"/>
  <c r="AN8" i="19"/>
  <c r="AO8" i="19"/>
  <c r="AM26" i="19"/>
  <c r="AN26" i="19"/>
  <c r="AO26" i="19"/>
  <c r="AM44" i="19"/>
  <c r="AN44" i="19"/>
  <c r="AO44" i="19"/>
  <c r="AV8" i="19"/>
  <c r="AM9" i="19"/>
  <c r="AN9" i="19"/>
  <c r="AO9" i="19"/>
  <c r="AM27" i="19"/>
  <c r="AN27" i="19"/>
  <c r="AO27" i="19"/>
  <c r="AM45" i="19"/>
  <c r="AN45" i="19"/>
  <c r="AO45" i="19"/>
  <c r="AV9" i="19"/>
  <c r="AM10" i="19"/>
  <c r="AN10" i="19"/>
  <c r="AO10" i="19"/>
  <c r="AM28" i="19"/>
  <c r="AN28" i="19"/>
  <c r="AO28" i="19"/>
  <c r="AM46" i="19"/>
  <c r="AN46" i="19"/>
  <c r="AO46" i="19"/>
  <c r="AV10" i="19"/>
  <c r="AM11" i="19"/>
  <c r="AN11" i="19"/>
  <c r="AO11" i="19"/>
  <c r="AM29" i="19"/>
  <c r="AN29" i="19"/>
  <c r="AO29" i="19"/>
  <c r="AM47" i="19"/>
  <c r="AN47" i="19"/>
  <c r="AO47" i="19"/>
  <c r="AV11" i="19"/>
  <c r="AM12" i="19"/>
  <c r="AN12" i="19"/>
  <c r="AO12" i="19"/>
  <c r="AM30" i="19"/>
  <c r="AN30" i="19"/>
  <c r="AO30" i="19"/>
  <c r="AM48" i="19"/>
  <c r="AN48" i="19"/>
  <c r="AO48" i="19"/>
  <c r="AV12" i="19"/>
  <c r="AA13" i="19"/>
  <c r="AB13" i="19"/>
  <c r="AC13" i="19"/>
  <c r="AD13" i="19"/>
  <c r="AE13" i="19"/>
  <c r="AH13" i="19"/>
  <c r="AI13" i="19"/>
  <c r="AJ13" i="19"/>
  <c r="AK13" i="19"/>
  <c r="AL13" i="19"/>
  <c r="AM13" i="19"/>
  <c r="AN13" i="19"/>
  <c r="AO13" i="19"/>
  <c r="AA31" i="19"/>
  <c r="AB31" i="19"/>
  <c r="AC31" i="19"/>
  <c r="AD31" i="19"/>
  <c r="AE31" i="19"/>
  <c r="AH31" i="19"/>
  <c r="AI31" i="19"/>
  <c r="AJ31" i="19"/>
  <c r="AK31" i="19"/>
  <c r="AL31" i="19"/>
  <c r="AM31" i="19"/>
  <c r="AN31" i="19"/>
  <c r="AO31" i="19"/>
  <c r="AA49" i="19"/>
  <c r="AB49" i="19"/>
  <c r="AC49" i="19"/>
  <c r="AD49" i="19"/>
  <c r="AE49" i="19"/>
  <c r="AH49" i="19"/>
  <c r="AI49" i="19"/>
  <c r="AJ49" i="19"/>
  <c r="AK49" i="19"/>
  <c r="AL49" i="19"/>
  <c r="AM49" i="19"/>
  <c r="AN49" i="19"/>
  <c r="AO49" i="19"/>
  <c r="AV13" i="19"/>
  <c r="AM14" i="19"/>
  <c r="AN14" i="19"/>
  <c r="AO14" i="19"/>
  <c r="AM32" i="19"/>
  <c r="AN32" i="19"/>
  <c r="AO32" i="19"/>
  <c r="AM50" i="19"/>
  <c r="AN50" i="19"/>
  <c r="AO50" i="19"/>
  <c r="AV14" i="19"/>
  <c r="AM15" i="19"/>
  <c r="AN15" i="19"/>
  <c r="AO15" i="19"/>
  <c r="AM33" i="19"/>
  <c r="AN33" i="19"/>
  <c r="AO33" i="19"/>
  <c r="AM51" i="19"/>
  <c r="AN51" i="19"/>
  <c r="AO51" i="19"/>
  <c r="AV15" i="19"/>
  <c r="AM16" i="19"/>
  <c r="AN16" i="19"/>
  <c r="AO16" i="19"/>
  <c r="AM34" i="19"/>
  <c r="AN34" i="19"/>
  <c r="AO34" i="19"/>
  <c r="AM52" i="19"/>
  <c r="AN52" i="19"/>
  <c r="AO52" i="19"/>
  <c r="AV16" i="19"/>
  <c r="AM17" i="19"/>
  <c r="AN17" i="19"/>
  <c r="AO17" i="19"/>
  <c r="AM35" i="19"/>
  <c r="AN35" i="19"/>
  <c r="AO35" i="19"/>
  <c r="AM53" i="19"/>
  <c r="AN53" i="19"/>
  <c r="AO53" i="19"/>
  <c r="AV17" i="19"/>
  <c r="AM18" i="19"/>
  <c r="AN18" i="19"/>
  <c r="AO18" i="19"/>
  <c r="AM36" i="19"/>
  <c r="AN36" i="19"/>
  <c r="AO36" i="19"/>
  <c r="AM54" i="19"/>
  <c r="AN54" i="19"/>
  <c r="AO54" i="19"/>
  <c r="AV18" i="19"/>
  <c r="AV6" i="19"/>
  <c r="E6" i="22"/>
  <c r="E7" i="22"/>
  <c r="E8" i="22"/>
  <c r="E9" i="22"/>
  <c r="E10" i="22"/>
  <c r="E11" i="22"/>
  <c r="AF13" i="16"/>
  <c r="AG13" i="16"/>
  <c r="AF31" i="16"/>
  <c r="AG31" i="16"/>
  <c r="AF49" i="16"/>
  <c r="AG49" i="16"/>
  <c r="BA13" i="16"/>
  <c r="E12" i="22"/>
  <c r="AG14" i="16"/>
  <c r="AG32" i="16"/>
  <c r="AG50" i="16"/>
  <c r="BA14" i="16"/>
  <c r="E13" i="22"/>
  <c r="AG15" i="16"/>
  <c r="AG33" i="16"/>
  <c r="AG51" i="16"/>
  <c r="BA15" i="16"/>
  <c r="E14" i="22"/>
  <c r="AG16" i="16"/>
  <c r="AG34" i="16"/>
  <c r="AG52" i="16"/>
  <c r="BA16" i="16"/>
  <c r="E15" i="22"/>
  <c r="AG17" i="16"/>
  <c r="AG35" i="16"/>
  <c r="AG53" i="16"/>
  <c r="BA17" i="16"/>
  <c r="E16" i="22"/>
  <c r="AG18" i="16"/>
  <c r="AG36" i="16"/>
  <c r="AG54" i="16"/>
  <c r="BA18" i="16"/>
  <c r="E17" i="22"/>
  <c r="E5" i="22"/>
  <c r="AM7" i="16"/>
  <c r="AN7" i="16"/>
  <c r="AM6" i="16"/>
  <c r="AN6" i="16"/>
  <c r="AO6" i="16"/>
  <c r="AO7" i="16"/>
  <c r="AM25" i="16"/>
  <c r="AN25" i="16"/>
  <c r="AM24" i="16"/>
  <c r="AN24" i="16"/>
  <c r="AO24" i="16"/>
  <c r="AO25" i="16"/>
  <c r="AM43" i="16"/>
  <c r="AN43" i="16"/>
  <c r="AM42" i="16"/>
  <c r="AN42" i="16"/>
  <c r="AO42" i="16"/>
  <c r="AO43" i="16"/>
  <c r="AY7" i="16"/>
  <c r="D6" i="22"/>
  <c r="AM8" i="16"/>
  <c r="AN8" i="16"/>
  <c r="AO8" i="16"/>
  <c r="AM26" i="16"/>
  <c r="AN26" i="16"/>
  <c r="AO26" i="16"/>
  <c r="AM44" i="16"/>
  <c r="AN44" i="16"/>
  <c r="AO44" i="16"/>
  <c r="AY8" i="16"/>
  <c r="D7" i="22"/>
  <c r="AM9" i="16"/>
  <c r="AN9" i="16"/>
  <c r="AO9" i="16"/>
  <c r="AM27" i="16"/>
  <c r="AN27" i="16"/>
  <c r="AO27" i="16"/>
  <c r="AM45" i="16"/>
  <c r="AN45" i="16"/>
  <c r="AO45" i="16"/>
  <c r="AY9" i="16"/>
  <c r="D8" i="22"/>
  <c r="AM10" i="16"/>
  <c r="AN10" i="16"/>
  <c r="AO10" i="16"/>
  <c r="AM28" i="16"/>
  <c r="AN28" i="16"/>
  <c r="AO28" i="16"/>
  <c r="AM46" i="16"/>
  <c r="AN46" i="16"/>
  <c r="AO46" i="16"/>
  <c r="AY10" i="16"/>
  <c r="D9" i="22"/>
  <c r="AM11" i="16"/>
  <c r="AN11" i="16"/>
  <c r="AO11" i="16"/>
  <c r="AM29" i="16"/>
  <c r="AN29" i="16"/>
  <c r="AO29" i="16"/>
  <c r="AM47" i="16"/>
  <c r="AN47" i="16"/>
  <c r="AO47" i="16"/>
  <c r="AY11" i="16"/>
  <c r="D10" i="22"/>
  <c r="AM12" i="16"/>
  <c r="AN12" i="16"/>
  <c r="AO12" i="16"/>
  <c r="AM30" i="16"/>
  <c r="AN30" i="16"/>
  <c r="AO30" i="16"/>
  <c r="AM48" i="16"/>
  <c r="AN48" i="16"/>
  <c r="AO48" i="16"/>
  <c r="AY12" i="16"/>
  <c r="D11" i="22"/>
  <c r="AA13" i="16"/>
  <c r="AB13" i="16"/>
  <c r="AC13" i="16"/>
  <c r="AD13" i="16"/>
  <c r="AE13" i="16"/>
  <c r="AH13" i="16"/>
  <c r="AI13" i="16"/>
  <c r="AJ13" i="16"/>
  <c r="AK13" i="16"/>
  <c r="AL13" i="16"/>
  <c r="AM13" i="16"/>
  <c r="AN13" i="16"/>
  <c r="AO13" i="16"/>
  <c r="AA31" i="16"/>
  <c r="AB31" i="16"/>
  <c r="AC31" i="16"/>
  <c r="AD31" i="16"/>
  <c r="AE31" i="16"/>
  <c r="AH31" i="16"/>
  <c r="AI31" i="16"/>
  <c r="AJ31" i="16"/>
  <c r="AK31" i="16"/>
  <c r="AL31" i="16"/>
  <c r="AM31" i="16"/>
  <c r="AN31" i="16"/>
  <c r="AO31" i="16"/>
  <c r="AA49" i="16"/>
  <c r="AB49" i="16"/>
  <c r="AC49" i="16"/>
  <c r="AD49" i="16"/>
  <c r="AE49" i="16"/>
  <c r="AH49" i="16"/>
  <c r="AI49" i="16"/>
  <c r="AJ49" i="16"/>
  <c r="AK49" i="16"/>
  <c r="AL49" i="16"/>
  <c r="AM49" i="16"/>
  <c r="AN49" i="16"/>
  <c r="AO49" i="16"/>
  <c r="AY13" i="16"/>
  <c r="D12" i="22"/>
  <c r="AM14" i="16"/>
  <c r="AN14" i="16"/>
  <c r="AO14" i="16"/>
  <c r="AM32" i="16"/>
  <c r="AN32" i="16"/>
  <c r="AO32" i="16"/>
  <c r="AM50" i="16"/>
  <c r="AN50" i="16"/>
  <c r="AO50" i="16"/>
  <c r="AY14" i="16"/>
  <c r="D13" i="22"/>
  <c r="AM15" i="16"/>
  <c r="AN15" i="16"/>
  <c r="AO15" i="16"/>
  <c r="AM33" i="16"/>
  <c r="AN33" i="16"/>
  <c r="AO33" i="16"/>
  <c r="AM51" i="16"/>
  <c r="AN51" i="16"/>
  <c r="AO51" i="16"/>
  <c r="AY15" i="16"/>
  <c r="D14" i="22"/>
  <c r="AM16" i="16"/>
  <c r="AN16" i="16"/>
  <c r="AO16" i="16"/>
  <c r="AM34" i="16"/>
  <c r="AN34" i="16"/>
  <c r="AO34" i="16"/>
  <c r="AM52" i="16"/>
  <c r="AN52" i="16"/>
  <c r="AO52" i="16"/>
  <c r="AY16" i="16"/>
  <c r="D15" i="22"/>
  <c r="AM17" i="16"/>
  <c r="AN17" i="16"/>
  <c r="AO17" i="16"/>
  <c r="AM35" i="16"/>
  <c r="AN35" i="16"/>
  <c r="AO35" i="16"/>
  <c r="AM53" i="16"/>
  <c r="AN53" i="16"/>
  <c r="AO53" i="16"/>
  <c r="AY17" i="16"/>
  <c r="D16" i="22"/>
  <c r="AM18" i="16"/>
  <c r="AN18" i="16"/>
  <c r="AO18" i="16"/>
  <c r="AM36" i="16"/>
  <c r="AN36" i="16"/>
  <c r="AO36" i="16"/>
  <c r="AM54" i="16"/>
  <c r="AN54" i="16"/>
  <c r="AO54" i="16"/>
  <c r="AY18" i="16"/>
  <c r="D17" i="22"/>
  <c r="AY6" i="16"/>
  <c r="D5" i="22"/>
  <c r="E8" i="15"/>
  <c r="C8" i="13"/>
  <c r="T8" i="13"/>
  <c r="S8" i="13"/>
  <c r="AA8" i="13"/>
  <c r="AA6" i="13"/>
  <c r="AB6" i="13"/>
  <c r="AB7" i="13"/>
  <c r="AB8" i="13"/>
  <c r="AB9" i="13"/>
  <c r="AS9" i="13"/>
  <c r="C8" i="22"/>
  <c r="AB10" i="13"/>
  <c r="AS10" i="13"/>
  <c r="C9" i="22"/>
  <c r="AB11" i="13"/>
  <c r="AS11" i="13"/>
  <c r="C10" i="22"/>
  <c r="AB12" i="13"/>
  <c r="AS12" i="13"/>
  <c r="C11" i="22"/>
  <c r="N13" i="13"/>
  <c r="Q13" i="13"/>
  <c r="T13" i="13"/>
  <c r="AA13" i="13"/>
  <c r="AB13" i="13"/>
  <c r="AA31" i="13"/>
  <c r="AB31" i="13"/>
  <c r="AA49" i="13"/>
  <c r="AB49" i="13"/>
  <c r="AS13" i="13"/>
  <c r="C12" i="22"/>
  <c r="AB14" i="13"/>
  <c r="AB32" i="13"/>
  <c r="AB50" i="13"/>
  <c r="AS14" i="13"/>
  <c r="C13" i="22"/>
  <c r="AB15" i="13"/>
  <c r="AB33" i="13"/>
  <c r="AB51" i="13"/>
  <c r="AS15" i="13"/>
  <c r="C14" i="22"/>
  <c r="AB16" i="13"/>
  <c r="AB34" i="13"/>
  <c r="AB52" i="13"/>
  <c r="AS16" i="13"/>
  <c r="C15" i="22"/>
  <c r="AB17" i="13"/>
  <c r="AB35" i="13"/>
  <c r="AB53" i="13"/>
  <c r="AS17" i="13"/>
  <c r="C16" i="22"/>
  <c r="AB18" i="13"/>
  <c r="AB36" i="13"/>
  <c r="AB54" i="13"/>
  <c r="AS18" i="13"/>
  <c r="C17" i="22"/>
  <c r="AH9" i="13"/>
  <c r="AI9" i="13"/>
  <c r="AC8" i="13"/>
  <c r="AD8" i="13"/>
  <c r="AE8" i="13"/>
  <c r="AF8" i="13"/>
  <c r="AG8" i="13"/>
  <c r="AH8" i="13"/>
  <c r="V8" i="13"/>
  <c r="W8" i="13"/>
  <c r="X8" i="13"/>
  <c r="Y8" i="13"/>
  <c r="Z8" i="13"/>
  <c r="AI8" i="13"/>
  <c r="AH7" i="13"/>
  <c r="AI7" i="13"/>
  <c r="AD6" i="13"/>
  <c r="AF6" i="13"/>
  <c r="AG6" i="13"/>
  <c r="AH6" i="13"/>
  <c r="AI6" i="13"/>
  <c r="AJ6" i="13"/>
  <c r="AJ7" i="13"/>
  <c r="AJ8" i="13"/>
  <c r="AJ9" i="13"/>
  <c r="AH27" i="13"/>
  <c r="AI27" i="13"/>
  <c r="AH26" i="13"/>
  <c r="AI26" i="13"/>
  <c r="AH25" i="13"/>
  <c r="AI25" i="13"/>
  <c r="AH24" i="13"/>
  <c r="AI24" i="13"/>
  <c r="AJ24" i="13"/>
  <c r="AJ25" i="13"/>
  <c r="AJ26" i="13"/>
  <c r="AJ27" i="13"/>
  <c r="AH45" i="13"/>
  <c r="AI45" i="13"/>
  <c r="AH44" i="13"/>
  <c r="AI44" i="13"/>
  <c r="AH43" i="13"/>
  <c r="AI43" i="13"/>
  <c r="AH42" i="13"/>
  <c r="AI42" i="13"/>
  <c r="AJ42" i="13"/>
  <c r="AJ43" i="13"/>
  <c r="AJ44" i="13"/>
  <c r="AJ45" i="13"/>
  <c r="AQ9" i="13"/>
  <c r="B8" i="22"/>
  <c r="AH10" i="13"/>
  <c r="AI10" i="13"/>
  <c r="AJ10" i="13"/>
  <c r="AH28" i="13"/>
  <c r="AI28" i="13"/>
  <c r="AJ28" i="13"/>
  <c r="AH46" i="13"/>
  <c r="AI46" i="13"/>
  <c r="AJ46" i="13"/>
  <c r="AQ10" i="13"/>
  <c r="B9" i="22"/>
  <c r="AH11" i="13"/>
  <c r="AI11" i="13"/>
  <c r="AJ11" i="13"/>
  <c r="AH29" i="13"/>
  <c r="AI29" i="13"/>
  <c r="AJ29" i="13"/>
  <c r="AH47" i="13"/>
  <c r="AI47" i="13"/>
  <c r="AJ47" i="13"/>
  <c r="AQ11" i="13"/>
  <c r="B10" i="22"/>
  <c r="AH12" i="13"/>
  <c r="AI12" i="13"/>
  <c r="AJ12" i="13"/>
  <c r="AH30" i="13"/>
  <c r="AI30" i="13"/>
  <c r="AJ30" i="13"/>
  <c r="AH48" i="13"/>
  <c r="AI48" i="13"/>
  <c r="AJ48" i="13"/>
  <c r="AQ12" i="13"/>
  <c r="B11" i="22"/>
  <c r="V13" i="13"/>
  <c r="W13" i="13"/>
  <c r="X13" i="13"/>
  <c r="Y13" i="13"/>
  <c r="Z13" i="13"/>
  <c r="AC13" i="13"/>
  <c r="AE13" i="13"/>
  <c r="AD13" i="13"/>
  <c r="AF13" i="13"/>
  <c r="AG13" i="13"/>
  <c r="AH13" i="13"/>
  <c r="AI13" i="13"/>
  <c r="AJ13" i="13"/>
  <c r="V31" i="13"/>
  <c r="W31" i="13"/>
  <c r="X31" i="13"/>
  <c r="Y31" i="13"/>
  <c r="Z31" i="13"/>
  <c r="AC31" i="13"/>
  <c r="AD31" i="13"/>
  <c r="AE31" i="13"/>
  <c r="AF31" i="13"/>
  <c r="AG31" i="13"/>
  <c r="AH31" i="13"/>
  <c r="AI31" i="13"/>
  <c r="AJ31" i="13"/>
  <c r="V49" i="13"/>
  <c r="W49" i="13"/>
  <c r="X49" i="13"/>
  <c r="Y49" i="13"/>
  <c r="Z49" i="13"/>
  <c r="AC49" i="13"/>
  <c r="AD49" i="13"/>
  <c r="AE49" i="13"/>
  <c r="AF49" i="13"/>
  <c r="AG49" i="13"/>
  <c r="AH49" i="13"/>
  <c r="AI49" i="13"/>
  <c r="AJ49" i="13"/>
  <c r="AQ13" i="13"/>
  <c r="B12" i="22"/>
  <c r="AH14" i="13"/>
  <c r="AI14" i="13"/>
  <c r="AJ14" i="13"/>
  <c r="AH32" i="13"/>
  <c r="AI32" i="13"/>
  <c r="AJ32" i="13"/>
  <c r="AH50" i="13"/>
  <c r="AI50" i="13"/>
  <c r="AJ50" i="13"/>
  <c r="AQ14" i="13"/>
  <c r="B13" i="22"/>
  <c r="AH15" i="13"/>
  <c r="AI15" i="13"/>
  <c r="AJ15" i="13"/>
  <c r="AH33" i="13"/>
  <c r="AI33" i="13"/>
  <c r="AJ33" i="13"/>
  <c r="AH51" i="13"/>
  <c r="AI51" i="13"/>
  <c r="AJ51" i="13"/>
  <c r="AQ15" i="13"/>
  <c r="B14" i="22"/>
  <c r="AH16" i="13"/>
  <c r="AI16" i="13"/>
  <c r="AJ16" i="13"/>
  <c r="AH34" i="13"/>
  <c r="AI34" i="13"/>
  <c r="AJ34" i="13"/>
  <c r="AH52" i="13"/>
  <c r="AI52" i="13"/>
  <c r="AJ52" i="13"/>
  <c r="AQ16" i="13"/>
  <c r="B15" i="22"/>
  <c r="AH17" i="13"/>
  <c r="AI17" i="13"/>
  <c r="AJ17" i="13"/>
  <c r="AH35" i="13"/>
  <c r="AI35" i="13"/>
  <c r="AJ35" i="13"/>
  <c r="AH53" i="13"/>
  <c r="AI53" i="13"/>
  <c r="AJ53" i="13"/>
  <c r="AQ17" i="13"/>
  <c r="B16" i="22"/>
  <c r="AH18" i="13"/>
  <c r="AI18" i="13"/>
  <c r="AJ18" i="13"/>
  <c r="AH36" i="13"/>
  <c r="AI36" i="13"/>
  <c r="AJ36" i="13"/>
  <c r="AH54" i="13"/>
  <c r="AI54" i="13"/>
  <c r="AJ54" i="13"/>
  <c r="AQ18" i="13"/>
  <c r="B17" i="22"/>
  <c r="W7" i="16"/>
  <c r="Y7" i="16"/>
  <c r="AU7" i="16"/>
  <c r="AT7" i="16"/>
  <c r="W8" i="16"/>
  <c r="Y8" i="16"/>
  <c r="AU8" i="16"/>
  <c r="AT8" i="16"/>
  <c r="W9" i="16"/>
  <c r="Y9" i="16"/>
  <c r="AU9" i="16"/>
  <c r="AT9" i="16"/>
  <c r="W10" i="16"/>
  <c r="Y10" i="16"/>
  <c r="AU10" i="16"/>
  <c r="AT10" i="16"/>
  <c r="W11" i="16"/>
  <c r="Y11" i="16"/>
  <c r="AU11" i="16"/>
  <c r="AT11" i="16"/>
  <c r="W12" i="16"/>
  <c r="Y12" i="16"/>
  <c r="AU12" i="16"/>
  <c r="AT12" i="16"/>
  <c r="W13" i="16"/>
  <c r="Y13" i="16"/>
  <c r="AU13" i="16"/>
  <c r="AT13" i="16"/>
  <c r="W14" i="16"/>
  <c r="Y14" i="16"/>
  <c r="AU14" i="16"/>
  <c r="AT14" i="16"/>
  <c r="W15" i="16"/>
  <c r="Y15" i="16"/>
  <c r="AU15" i="16"/>
  <c r="AT15" i="16"/>
  <c r="W16" i="16"/>
  <c r="Y16" i="16"/>
  <c r="AU16" i="16"/>
  <c r="AT16" i="16"/>
  <c r="W17" i="16"/>
  <c r="Y17" i="16"/>
  <c r="AU17" i="16"/>
  <c r="AT17" i="16"/>
  <c r="W18" i="16"/>
  <c r="Y18" i="16"/>
  <c r="AU18" i="16"/>
  <c r="AT18" i="16"/>
  <c r="W6" i="16"/>
  <c r="Y6" i="16"/>
  <c r="AU6" i="16"/>
  <c r="AT6" i="16"/>
  <c r="AX7" i="19"/>
  <c r="AX8" i="19"/>
  <c r="AX9" i="19"/>
  <c r="AX10" i="19"/>
  <c r="AX11" i="19"/>
  <c r="AX12" i="19"/>
  <c r="AX6" i="19"/>
  <c r="AS7" i="13"/>
  <c r="AS8" i="13"/>
  <c r="AS6" i="13"/>
  <c r="AK54" i="19"/>
  <c r="AJ54" i="19"/>
  <c r="AI54" i="19"/>
  <c r="AH54" i="19"/>
  <c r="AL54" i="19"/>
  <c r="AF54" i="19"/>
  <c r="AD54" i="19"/>
  <c r="AC54" i="19"/>
  <c r="AB54" i="19"/>
  <c r="AA54" i="19"/>
  <c r="AE54" i="19"/>
  <c r="Q54" i="19"/>
  <c r="R54" i="19"/>
  <c r="T54" i="19"/>
  <c r="V54" i="19"/>
  <c r="P54" i="19"/>
  <c r="S54" i="19"/>
  <c r="U54" i="19"/>
  <c r="O54" i="19"/>
  <c r="AK53" i="19"/>
  <c r="AJ53" i="19"/>
  <c r="AI53" i="19"/>
  <c r="AH53" i="19"/>
  <c r="AF53" i="19"/>
  <c r="AD53" i="19"/>
  <c r="AC53" i="19"/>
  <c r="AB53" i="19"/>
  <c r="AA53" i="19"/>
  <c r="T53" i="19"/>
  <c r="V53" i="19"/>
  <c r="S53" i="19"/>
  <c r="U53" i="19"/>
  <c r="R53" i="19"/>
  <c r="Q53" i="19"/>
  <c r="P53" i="19"/>
  <c r="O53" i="19"/>
  <c r="W53" i="19"/>
  <c r="AK52" i="19"/>
  <c r="AJ52" i="19"/>
  <c r="AI52" i="19"/>
  <c r="AH52" i="19"/>
  <c r="AL52" i="19"/>
  <c r="AF52" i="19"/>
  <c r="AD52" i="19"/>
  <c r="AC52" i="19"/>
  <c r="AB52" i="19"/>
  <c r="AA52" i="19"/>
  <c r="AE52" i="19"/>
  <c r="U52" i="19"/>
  <c r="S52" i="19"/>
  <c r="Q52" i="19"/>
  <c r="R52" i="19"/>
  <c r="T52" i="19"/>
  <c r="V52" i="19"/>
  <c r="P52" i="19"/>
  <c r="O52" i="19"/>
  <c r="AK51" i="19"/>
  <c r="AJ51" i="19"/>
  <c r="AI51" i="19"/>
  <c r="AH51" i="19"/>
  <c r="AF51" i="19"/>
  <c r="AD51" i="19"/>
  <c r="AC51" i="19"/>
  <c r="AB51" i="19"/>
  <c r="AA51" i="19"/>
  <c r="AE51" i="19"/>
  <c r="R51" i="19"/>
  <c r="T51" i="19"/>
  <c r="V51" i="19"/>
  <c r="Q51" i="19"/>
  <c r="P51" i="19"/>
  <c r="S51" i="19"/>
  <c r="U51" i="19"/>
  <c r="O51" i="19"/>
  <c r="W51" i="19"/>
  <c r="AK50" i="19"/>
  <c r="AJ50" i="19"/>
  <c r="AI50" i="19"/>
  <c r="AH50" i="19"/>
  <c r="AL50" i="19"/>
  <c r="AF50" i="19"/>
  <c r="AD50" i="19"/>
  <c r="AC50" i="19"/>
  <c r="AB50" i="19"/>
  <c r="AA50" i="19"/>
  <c r="AE50" i="19"/>
  <c r="U50" i="19"/>
  <c r="T50" i="19"/>
  <c r="V50" i="19"/>
  <c r="S50" i="19"/>
  <c r="R50" i="19"/>
  <c r="Q50" i="19"/>
  <c r="P50" i="19"/>
  <c r="O50" i="19"/>
  <c r="R49" i="19"/>
  <c r="T49" i="19"/>
  <c r="V49" i="19"/>
  <c r="Q49" i="19"/>
  <c r="P49" i="19"/>
  <c r="S49" i="19"/>
  <c r="U49" i="19"/>
  <c r="Y49" i="19"/>
  <c r="O49" i="19"/>
  <c r="W49" i="19"/>
  <c r="AK48" i="19"/>
  <c r="AJ48" i="19"/>
  <c r="AI48" i="19"/>
  <c r="AH48" i="19"/>
  <c r="AF48" i="19"/>
  <c r="AD48" i="19"/>
  <c r="AC48" i="19"/>
  <c r="AB48" i="19"/>
  <c r="AA48" i="19"/>
  <c r="S48" i="19"/>
  <c r="U48" i="19"/>
  <c r="R48" i="19"/>
  <c r="T48" i="19"/>
  <c r="V48" i="19"/>
  <c r="Q48" i="19"/>
  <c r="P48" i="19"/>
  <c r="O48" i="19"/>
  <c r="AK47" i="19"/>
  <c r="AJ47" i="19"/>
  <c r="AI47" i="19"/>
  <c r="AH47" i="19"/>
  <c r="AL47" i="19"/>
  <c r="AF47" i="19"/>
  <c r="AD47" i="19"/>
  <c r="AC47" i="19"/>
  <c r="AB47" i="19"/>
  <c r="AA47" i="19"/>
  <c r="AE47" i="19"/>
  <c r="U47" i="19"/>
  <c r="S47" i="19"/>
  <c r="Q47" i="19"/>
  <c r="R47" i="19"/>
  <c r="T47" i="19"/>
  <c r="V47" i="19"/>
  <c r="P47" i="19"/>
  <c r="O47" i="19"/>
  <c r="AK46" i="19"/>
  <c r="AJ46" i="19"/>
  <c r="AI46" i="19"/>
  <c r="AH46" i="19"/>
  <c r="AL46" i="19"/>
  <c r="AF46" i="19"/>
  <c r="AD46" i="19"/>
  <c r="AC46" i="19"/>
  <c r="AB46" i="19"/>
  <c r="AA46" i="19"/>
  <c r="AE46" i="19"/>
  <c r="Q46" i="19"/>
  <c r="R46" i="19"/>
  <c r="T46" i="19"/>
  <c r="V46" i="19"/>
  <c r="P46" i="19"/>
  <c r="S46" i="19"/>
  <c r="U46" i="19"/>
  <c r="O46" i="19"/>
  <c r="AK45" i="19"/>
  <c r="AJ45" i="19"/>
  <c r="AI45" i="19"/>
  <c r="AH45" i="19"/>
  <c r="AL45" i="19"/>
  <c r="AF45" i="19"/>
  <c r="AD45" i="19"/>
  <c r="AC45" i="19"/>
  <c r="AB45" i="19"/>
  <c r="AA45" i="19"/>
  <c r="T45" i="19"/>
  <c r="V45" i="19"/>
  <c r="S45" i="19"/>
  <c r="U45" i="19"/>
  <c r="R45" i="19"/>
  <c r="Q45" i="19"/>
  <c r="P45" i="19"/>
  <c r="O45" i="19"/>
  <c r="AK44" i="19"/>
  <c r="AJ44" i="19"/>
  <c r="AI44" i="19"/>
  <c r="AH44" i="19"/>
  <c r="AL44" i="19"/>
  <c r="AF44" i="19"/>
  <c r="AD44" i="19"/>
  <c r="AC44" i="19"/>
  <c r="AB44" i="19"/>
  <c r="AA44" i="19"/>
  <c r="AE44" i="19"/>
  <c r="Q44" i="19"/>
  <c r="R44" i="19"/>
  <c r="T44" i="19"/>
  <c r="V44" i="19"/>
  <c r="P44" i="19"/>
  <c r="S44" i="19"/>
  <c r="U44" i="19"/>
  <c r="O44" i="19"/>
  <c r="W44" i="19"/>
  <c r="AK43" i="19"/>
  <c r="AJ43" i="19"/>
  <c r="AI43" i="19"/>
  <c r="AH43" i="19"/>
  <c r="AF43" i="19"/>
  <c r="AD43" i="19"/>
  <c r="AC43" i="19"/>
  <c r="AB43" i="19"/>
  <c r="AA43" i="19"/>
  <c r="AE43" i="19"/>
  <c r="R43" i="19"/>
  <c r="T43" i="19"/>
  <c r="V43" i="19"/>
  <c r="X43" i="19"/>
  <c r="Q43" i="19"/>
  <c r="P43" i="19"/>
  <c r="S43" i="19"/>
  <c r="U43" i="19"/>
  <c r="Y43" i="19"/>
  <c r="O43" i="19"/>
  <c r="W43" i="19"/>
  <c r="AK42" i="19"/>
  <c r="AJ42" i="19"/>
  <c r="AI42" i="19"/>
  <c r="AH42" i="19"/>
  <c r="AL42" i="19"/>
  <c r="AF42" i="19"/>
  <c r="AG42" i="19"/>
  <c r="AD42" i="19"/>
  <c r="AC42" i="19"/>
  <c r="AB42" i="19"/>
  <c r="AA42" i="19"/>
  <c r="U42" i="19"/>
  <c r="T42" i="19"/>
  <c r="V42" i="19"/>
  <c r="S42" i="19"/>
  <c r="R42" i="19"/>
  <c r="Q42" i="19"/>
  <c r="P42" i="19"/>
  <c r="O42" i="19"/>
  <c r="W42" i="19"/>
  <c r="AK36" i="19"/>
  <c r="AJ36" i="19"/>
  <c r="AI36" i="19"/>
  <c r="AH36" i="19"/>
  <c r="AF36" i="19"/>
  <c r="AD36" i="19"/>
  <c r="AC36" i="19"/>
  <c r="AB36" i="19"/>
  <c r="AA36" i="19"/>
  <c r="AE36" i="19"/>
  <c r="R36" i="19"/>
  <c r="T36" i="19"/>
  <c r="V36" i="19"/>
  <c r="Q36" i="19"/>
  <c r="P36" i="19"/>
  <c r="S36" i="19"/>
  <c r="U36" i="19"/>
  <c r="O36" i="19"/>
  <c r="AK35" i="19"/>
  <c r="AJ35" i="19"/>
  <c r="AI35" i="19"/>
  <c r="AH35" i="19"/>
  <c r="AF35" i="19"/>
  <c r="AD35" i="19"/>
  <c r="AC35" i="19"/>
  <c r="AB35" i="19"/>
  <c r="AA35" i="19"/>
  <c r="S35" i="19"/>
  <c r="U35" i="19"/>
  <c r="R35" i="19"/>
  <c r="T35" i="19"/>
  <c r="V35" i="19"/>
  <c r="Q35" i="19"/>
  <c r="P35" i="19"/>
  <c r="O35" i="19"/>
  <c r="AK34" i="19"/>
  <c r="AJ34" i="19"/>
  <c r="AI34" i="19"/>
  <c r="AH34" i="19"/>
  <c r="AF34" i="19"/>
  <c r="AD34" i="19"/>
  <c r="AC34" i="19"/>
  <c r="AB34" i="19"/>
  <c r="AA34" i="19"/>
  <c r="V34" i="19"/>
  <c r="U34" i="19"/>
  <c r="S34" i="19"/>
  <c r="Q34" i="19"/>
  <c r="R34" i="19"/>
  <c r="T34" i="19"/>
  <c r="P34" i="19"/>
  <c r="O34" i="19"/>
  <c r="AK33" i="19"/>
  <c r="AJ33" i="19"/>
  <c r="AI33" i="19"/>
  <c r="AH33" i="19"/>
  <c r="AF33" i="19"/>
  <c r="AD33" i="19"/>
  <c r="AC33" i="19"/>
  <c r="AB33" i="19"/>
  <c r="AA33" i="19"/>
  <c r="Q33" i="19"/>
  <c r="R33" i="19"/>
  <c r="T33" i="19"/>
  <c r="V33" i="19"/>
  <c r="P33" i="19"/>
  <c r="S33" i="19"/>
  <c r="U33" i="19"/>
  <c r="O33" i="19"/>
  <c r="AK32" i="19"/>
  <c r="AJ32" i="19"/>
  <c r="AI32" i="19"/>
  <c r="AH32" i="19"/>
  <c r="AF32" i="19"/>
  <c r="AD32" i="19"/>
  <c r="AC32" i="19"/>
  <c r="AB32" i="19"/>
  <c r="AA32" i="19"/>
  <c r="T32" i="19"/>
  <c r="V32" i="19"/>
  <c r="S32" i="19"/>
  <c r="U32" i="19"/>
  <c r="R32" i="19"/>
  <c r="Q32" i="19"/>
  <c r="P32" i="19"/>
  <c r="O32" i="19"/>
  <c r="W32" i="19"/>
  <c r="U31" i="19"/>
  <c r="S31" i="19"/>
  <c r="R31" i="19"/>
  <c r="T31" i="19"/>
  <c r="V31" i="19"/>
  <c r="W31" i="19"/>
  <c r="Q31" i="19"/>
  <c r="P31" i="19"/>
  <c r="O31" i="19"/>
  <c r="AK30" i="19"/>
  <c r="AJ30" i="19"/>
  <c r="AI30" i="19"/>
  <c r="AH30" i="19"/>
  <c r="AF30" i="19"/>
  <c r="AD30" i="19"/>
  <c r="AC30" i="19"/>
  <c r="AE30" i="19"/>
  <c r="AB30" i="19"/>
  <c r="AA30" i="19"/>
  <c r="R30" i="19"/>
  <c r="T30" i="19"/>
  <c r="V30" i="19"/>
  <c r="Q30" i="19"/>
  <c r="P30" i="19"/>
  <c r="S30" i="19"/>
  <c r="U30" i="19"/>
  <c r="O30" i="19"/>
  <c r="AK29" i="19"/>
  <c r="AJ29" i="19"/>
  <c r="AI29" i="19"/>
  <c r="AH29" i="19"/>
  <c r="AF29" i="19"/>
  <c r="AD29" i="19"/>
  <c r="AC29" i="19"/>
  <c r="AB29" i="19"/>
  <c r="AA29" i="19"/>
  <c r="U29" i="19"/>
  <c r="T29" i="19"/>
  <c r="V29" i="19"/>
  <c r="S29" i="19"/>
  <c r="R29" i="19"/>
  <c r="Q29" i="19"/>
  <c r="P29" i="19"/>
  <c r="O29" i="19"/>
  <c r="W29" i="19"/>
  <c r="AK28" i="19"/>
  <c r="AJ28" i="19"/>
  <c r="AI28" i="19"/>
  <c r="AH28" i="19"/>
  <c r="AL28" i="19"/>
  <c r="AF28" i="19"/>
  <c r="AD28" i="19"/>
  <c r="AC28" i="19"/>
  <c r="AB28" i="19"/>
  <c r="AA28" i="19"/>
  <c r="R28" i="19"/>
  <c r="T28" i="19"/>
  <c r="V28" i="19"/>
  <c r="Q28" i="19"/>
  <c r="P28" i="19"/>
  <c r="S28" i="19"/>
  <c r="U28" i="19"/>
  <c r="O28" i="19"/>
  <c r="AK27" i="19"/>
  <c r="AJ27" i="19"/>
  <c r="AI27" i="19"/>
  <c r="AH27" i="19"/>
  <c r="AF27" i="19"/>
  <c r="AD27" i="19"/>
  <c r="AC27" i="19"/>
  <c r="AB27" i="19"/>
  <c r="AA27" i="19"/>
  <c r="S27" i="19"/>
  <c r="U27" i="19"/>
  <c r="R27" i="19"/>
  <c r="T27" i="19"/>
  <c r="V27" i="19"/>
  <c r="Q27" i="19"/>
  <c r="P27" i="19"/>
  <c r="O27" i="19"/>
  <c r="AK26" i="19"/>
  <c r="AJ26" i="19"/>
  <c r="AI26" i="19"/>
  <c r="AH26" i="19"/>
  <c r="AF26" i="19"/>
  <c r="AW8" i="19"/>
  <c r="AD26" i="19"/>
  <c r="AC26" i="19"/>
  <c r="AB26" i="19"/>
  <c r="AA26" i="19"/>
  <c r="V26" i="19"/>
  <c r="U26" i="19"/>
  <c r="S26" i="19"/>
  <c r="Q26" i="19"/>
  <c r="R26" i="19"/>
  <c r="T26" i="19"/>
  <c r="P26" i="19"/>
  <c r="O26" i="19"/>
  <c r="W26" i="19"/>
  <c r="AK25" i="19"/>
  <c r="AJ25" i="19"/>
  <c r="AI25" i="19"/>
  <c r="AH25" i="19"/>
  <c r="AF25" i="19"/>
  <c r="AD25" i="19"/>
  <c r="AC25" i="19"/>
  <c r="AB25" i="19"/>
  <c r="AA25" i="19"/>
  <c r="Q25" i="19"/>
  <c r="R25" i="19"/>
  <c r="T25" i="19"/>
  <c r="V25" i="19"/>
  <c r="P25" i="19"/>
  <c r="S25" i="19"/>
  <c r="U25" i="19"/>
  <c r="O25" i="19"/>
  <c r="W25" i="19"/>
  <c r="AK24" i="19"/>
  <c r="AJ24" i="19"/>
  <c r="AI24" i="19"/>
  <c r="AH24" i="19"/>
  <c r="AF24" i="19"/>
  <c r="AG24" i="19"/>
  <c r="AG25" i="19"/>
  <c r="AD24" i="19"/>
  <c r="AC24" i="19"/>
  <c r="AB24" i="19"/>
  <c r="AA24" i="19"/>
  <c r="T24" i="19"/>
  <c r="V24" i="19"/>
  <c r="S24" i="19"/>
  <c r="U24" i="19"/>
  <c r="R24" i="19"/>
  <c r="Q24" i="19"/>
  <c r="P24" i="19"/>
  <c r="O24" i="19"/>
  <c r="W24" i="19"/>
  <c r="AR18" i="19"/>
  <c r="AK18" i="19"/>
  <c r="AJ18" i="19"/>
  <c r="AI18" i="19"/>
  <c r="AH18" i="19"/>
  <c r="AL18" i="19"/>
  <c r="AF18" i="19"/>
  <c r="AD18" i="19"/>
  <c r="AC18" i="19"/>
  <c r="AB18" i="19"/>
  <c r="AA18" i="19"/>
  <c r="V18" i="19"/>
  <c r="U18" i="19"/>
  <c r="S18" i="19"/>
  <c r="Q18" i="19"/>
  <c r="R18" i="19"/>
  <c r="T18" i="19"/>
  <c r="P18" i="19"/>
  <c r="O18" i="19"/>
  <c r="AR17" i="19"/>
  <c r="AK17" i="19"/>
  <c r="AJ17" i="19"/>
  <c r="AI17" i="19"/>
  <c r="AH17" i="19"/>
  <c r="AF17" i="19"/>
  <c r="AW17" i="19"/>
  <c r="AD17" i="19"/>
  <c r="AC17" i="19"/>
  <c r="AB17" i="19"/>
  <c r="AA17" i="19"/>
  <c r="AE17" i="19"/>
  <c r="Q17" i="19"/>
  <c r="R17" i="19"/>
  <c r="T17" i="19"/>
  <c r="V17" i="19"/>
  <c r="P17" i="19"/>
  <c r="S17" i="19"/>
  <c r="U17" i="19"/>
  <c r="O17" i="19"/>
  <c r="W17" i="19"/>
  <c r="Y17" i="19"/>
  <c r="AR16" i="19"/>
  <c r="AK16" i="19"/>
  <c r="AJ16" i="19"/>
  <c r="AI16" i="19"/>
  <c r="AH16" i="19"/>
  <c r="AF16" i="19"/>
  <c r="AD16" i="19"/>
  <c r="AC16" i="19"/>
  <c r="AB16" i="19"/>
  <c r="AA16" i="19"/>
  <c r="T16" i="19"/>
  <c r="V16" i="19"/>
  <c r="S16" i="19"/>
  <c r="U16" i="19"/>
  <c r="R16" i="19"/>
  <c r="Q16" i="19"/>
  <c r="P16" i="19"/>
  <c r="O16" i="19"/>
  <c r="W16" i="19"/>
  <c r="AR15" i="19"/>
  <c r="AK15" i="19"/>
  <c r="AJ15" i="19"/>
  <c r="AI15" i="19"/>
  <c r="AH15" i="19"/>
  <c r="AL15" i="19"/>
  <c r="AF15" i="19"/>
  <c r="AW15" i="19"/>
  <c r="AD15" i="19"/>
  <c r="AC15" i="19"/>
  <c r="AB15" i="19"/>
  <c r="AA15" i="19"/>
  <c r="W15" i="19"/>
  <c r="R15" i="19"/>
  <c r="T15" i="19"/>
  <c r="V15" i="19"/>
  <c r="Q15" i="19"/>
  <c r="P15" i="19"/>
  <c r="S15" i="19"/>
  <c r="U15" i="19"/>
  <c r="O15" i="19"/>
  <c r="AR14" i="19"/>
  <c r="AK14" i="19"/>
  <c r="AJ14" i="19"/>
  <c r="AI14" i="19"/>
  <c r="AH14" i="19"/>
  <c r="AF14" i="19"/>
  <c r="AD14" i="19"/>
  <c r="AC14" i="19"/>
  <c r="AB14" i="19"/>
  <c r="AA14" i="19"/>
  <c r="R14" i="19"/>
  <c r="T14" i="19"/>
  <c r="V14" i="19"/>
  <c r="Q14" i="19"/>
  <c r="P14" i="19"/>
  <c r="S14" i="19"/>
  <c r="U14" i="19"/>
  <c r="O14" i="19"/>
  <c r="AR13" i="19"/>
  <c r="AW13" i="19"/>
  <c r="U13" i="19"/>
  <c r="T13" i="19"/>
  <c r="V13" i="19"/>
  <c r="S13" i="19"/>
  <c r="R13" i="19"/>
  <c r="Q13" i="19"/>
  <c r="P13" i="19"/>
  <c r="O13" i="19"/>
  <c r="AR12" i="19"/>
  <c r="AK12" i="19"/>
  <c r="AJ12" i="19"/>
  <c r="AI12" i="19"/>
  <c r="AH12" i="19"/>
  <c r="AF12" i="19"/>
  <c r="AW12" i="19"/>
  <c r="AD12" i="19"/>
  <c r="AC12" i="19"/>
  <c r="AB12" i="19"/>
  <c r="AA12" i="19"/>
  <c r="R12" i="19"/>
  <c r="T12" i="19"/>
  <c r="V12" i="19"/>
  <c r="Q12" i="19"/>
  <c r="P12" i="19"/>
  <c r="S12" i="19"/>
  <c r="U12" i="19"/>
  <c r="O12" i="19"/>
  <c r="W12" i="19"/>
  <c r="X12" i="19"/>
  <c r="AR11" i="19"/>
  <c r="AK11" i="19"/>
  <c r="AJ11" i="19"/>
  <c r="AI11" i="19"/>
  <c r="AH11" i="19"/>
  <c r="AL11" i="19"/>
  <c r="AF11" i="19"/>
  <c r="AW11" i="19"/>
  <c r="AD11" i="19"/>
  <c r="AC11" i="19"/>
  <c r="AB11" i="19"/>
  <c r="AA11" i="19"/>
  <c r="S11" i="19"/>
  <c r="U11" i="19"/>
  <c r="R11" i="19"/>
  <c r="T11" i="19"/>
  <c r="V11" i="19"/>
  <c r="Q11" i="19"/>
  <c r="P11" i="19"/>
  <c r="O11" i="19"/>
  <c r="AR10" i="19"/>
  <c r="AK10" i="19"/>
  <c r="AJ10" i="19"/>
  <c r="AI10" i="19"/>
  <c r="AH10" i="19"/>
  <c r="AL10" i="19"/>
  <c r="AF10" i="19"/>
  <c r="AW10" i="19"/>
  <c r="AD10" i="19"/>
  <c r="AC10" i="19"/>
  <c r="AB10" i="19"/>
  <c r="AA10" i="19"/>
  <c r="V10" i="19"/>
  <c r="U10" i="19"/>
  <c r="S10" i="19"/>
  <c r="Q10" i="19"/>
  <c r="R10" i="19"/>
  <c r="T10" i="19"/>
  <c r="P10" i="19"/>
  <c r="O10" i="19"/>
  <c r="AR9" i="19"/>
  <c r="AK9" i="19"/>
  <c r="AJ9" i="19"/>
  <c r="AI9" i="19"/>
  <c r="AH9" i="19"/>
  <c r="AF9" i="19"/>
  <c r="AW9" i="19"/>
  <c r="AD9" i="19"/>
  <c r="AC9" i="19"/>
  <c r="AB9" i="19"/>
  <c r="AA9" i="19"/>
  <c r="Q9" i="19"/>
  <c r="R9" i="19"/>
  <c r="T9" i="19"/>
  <c r="V9" i="19"/>
  <c r="P9" i="19"/>
  <c r="S9" i="19"/>
  <c r="U9" i="19"/>
  <c r="O9" i="19"/>
  <c r="AR8" i="19"/>
  <c r="AK8" i="19"/>
  <c r="AJ8" i="19"/>
  <c r="AI8" i="19"/>
  <c r="AH8" i="19"/>
  <c r="AF8" i="19"/>
  <c r="AD8" i="19"/>
  <c r="AC8" i="19"/>
  <c r="AB8" i="19"/>
  <c r="AA8" i="19"/>
  <c r="T8" i="19"/>
  <c r="V8" i="19"/>
  <c r="S8" i="19"/>
  <c r="U8" i="19"/>
  <c r="R8" i="19"/>
  <c r="Q8" i="19"/>
  <c r="P8" i="19"/>
  <c r="O8" i="19"/>
  <c r="W8" i="19"/>
  <c r="AR7" i="19"/>
  <c r="AK7" i="19"/>
  <c r="AJ7" i="19"/>
  <c r="AI7" i="19"/>
  <c r="AH7" i="19"/>
  <c r="AF7" i="19"/>
  <c r="AW7" i="19"/>
  <c r="AD7" i="19"/>
  <c r="AC7" i="19"/>
  <c r="AB7" i="19"/>
  <c r="AA7" i="19"/>
  <c r="R7" i="19"/>
  <c r="T7" i="19"/>
  <c r="V7" i="19"/>
  <c r="Q7" i="19"/>
  <c r="P7" i="19"/>
  <c r="S7" i="19"/>
  <c r="U7" i="19"/>
  <c r="O7" i="19"/>
  <c r="W7" i="19"/>
  <c r="AR6" i="19"/>
  <c r="AK6" i="19"/>
  <c r="AJ6" i="19"/>
  <c r="AI6" i="19"/>
  <c r="AH6" i="19"/>
  <c r="AL6" i="19"/>
  <c r="AF6" i="19"/>
  <c r="AG6" i="19"/>
  <c r="AD6" i="19"/>
  <c r="AC6" i="19"/>
  <c r="AE6" i="19"/>
  <c r="AB6" i="19"/>
  <c r="AA6" i="19"/>
  <c r="R6" i="19"/>
  <c r="T6" i="19"/>
  <c r="V6" i="19"/>
  <c r="W6" i="19"/>
  <c r="X6" i="19"/>
  <c r="Q6" i="19"/>
  <c r="P6" i="19"/>
  <c r="S6" i="19"/>
  <c r="U6" i="19"/>
  <c r="O6" i="19"/>
  <c r="S26" i="13"/>
  <c r="O24" i="16"/>
  <c r="W24" i="16"/>
  <c r="P24" i="16"/>
  <c r="S24" i="16"/>
  <c r="U24" i="16"/>
  <c r="Q24" i="16"/>
  <c r="R24" i="16"/>
  <c r="T24" i="16"/>
  <c r="V24" i="16"/>
  <c r="AA24" i="16"/>
  <c r="AB24" i="16"/>
  <c r="AC24" i="16"/>
  <c r="AD24" i="16"/>
  <c r="AF24" i="16"/>
  <c r="AG24" i="16"/>
  <c r="AH24" i="16"/>
  <c r="AI24" i="16"/>
  <c r="AJ24" i="16"/>
  <c r="AK24" i="16"/>
  <c r="O25" i="16"/>
  <c r="W25" i="16"/>
  <c r="P25" i="16"/>
  <c r="S25" i="16"/>
  <c r="U25" i="16"/>
  <c r="Q25" i="16"/>
  <c r="R25" i="16"/>
  <c r="T25" i="16"/>
  <c r="V25" i="16"/>
  <c r="AA25" i="16"/>
  <c r="AB25" i="16"/>
  <c r="AC25" i="16"/>
  <c r="AD25" i="16"/>
  <c r="AF25" i="16"/>
  <c r="AH25" i="16"/>
  <c r="AI25" i="16"/>
  <c r="AJ25" i="16"/>
  <c r="AK25" i="16"/>
  <c r="O26" i="16"/>
  <c r="P26" i="16"/>
  <c r="S26" i="16"/>
  <c r="U26" i="16"/>
  <c r="Q26" i="16"/>
  <c r="R26" i="16"/>
  <c r="T26" i="16"/>
  <c r="V26" i="16"/>
  <c r="AA26" i="16"/>
  <c r="AB26" i="16"/>
  <c r="AC26" i="16"/>
  <c r="AD26" i="16"/>
  <c r="AF26" i="16"/>
  <c r="AH26" i="16"/>
  <c r="AI26" i="16"/>
  <c r="AJ26" i="16"/>
  <c r="AK26" i="16"/>
  <c r="O27" i="16"/>
  <c r="P27" i="16"/>
  <c r="S27" i="16"/>
  <c r="U27" i="16"/>
  <c r="Q27" i="16"/>
  <c r="R27" i="16"/>
  <c r="T27" i="16"/>
  <c r="V27" i="16"/>
  <c r="AA27" i="16"/>
  <c r="AB27" i="16"/>
  <c r="AC27" i="16"/>
  <c r="AD27" i="16"/>
  <c r="AF27" i="16"/>
  <c r="AH27" i="16"/>
  <c r="AI27" i="16"/>
  <c r="AJ27" i="16"/>
  <c r="AK27" i="16"/>
  <c r="O28" i="16"/>
  <c r="P28" i="16"/>
  <c r="S28" i="16"/>
  <c r="U28" i="16"/>
  <c r="Q28" i="16"/>
  <c r="R28" i="16"/>
  <c r="T28" i="16"/>
  <c r="V28" i="16"/>
  <c r="AA28" i="16"/>
  <c r="AB28" i="16"/>
  <c r="AC28" i="16"/>
  <c r="AD28" i="16"/>
  <c r="AF28" i="16"/>
  <c r="AH28" i="16"/>
  <c r="AI28" i="16"/>
  <c r="AJ28" i="16"/>
  <c r="AK28" i="16"/>
  <c r="O29" i="16"/>
  <c r="P29" i="16"/>
  <c r="S29" i="16"/>
  <c r="U29" i="16"/>
  <c r="Q29" i="16"/>
  <c r="R29" i="16"/>
  <c r="T29" i="16"/>
  <c r="V29" i="16"/>
  <c r="AA29" i="16"/>
  <c r="AB29" i="16"/>
  <c r="AC29" i="16"/>
  <c r="AD29" i="16"/>
  <c r="AF29" i="16"/>
  <c r="AH29" i="16"/>
  <c r="AI29" i="16"/>
  <c r="AJ29" i="16"/>
  <c r="AK29" i="16"/>
  <c r="O30" i="16"/>
  <c r="P30" i="16"/>
  <c r="S30" i="16"/>
  <c r="U30" i="16"/>
  <c r="Q30" i="16"/>
  <c r="R30" i="16"/>
  <c r="T30" i="16"/>
  <c r="V30" i="16"/>
  <c r="AA30" i="16"/>
  <c r="AB30" i="16"/>
  <c r="AC30" i="16"/>
  <c r="AD30" i="16"/>
  <c r="AF30" i="16"/>
  <c r="AH30" i="16"/>
  <c r="AI30" i="16"/>
  <c r="AJ30" i="16"/>
  <c r="AK30" i="16"/>
  <c r="O31" i="16"/>
  <c r="P31" i="16"/>
  <c r="S31" i="16"/>
  <c r="U31" i="16"/>
  <c r="Q31" i="16"/>
  <c r="R31" i="16"/>
  <c r="T31" i="16"/>
  <c r="V31" i="16"/>
  <c r="O32" i="16"/>
  <c r="P32" i="16"/>
  <c r="S32" i="16"/>
  <c r="U32" i="16"/>
  <c r="Q32" i="16"/>
  <c r="R32" i="16"/>
  <c r="T32" i="16"/>
  <c r="V32" i="16"/>
  <c r="W32" i="16"/>
  <c r="AA32" i="16"/>
  <c r="AB32" i="16"/>
  <c r="AC32" i="16"/>
  <c r="AD32" i="16"/>
  <c r="AF32" i="16"/>
  <c r="AH32" i="16"/>
  <c r="AI32" i="16"/>
  <c r="AJ32" i="16"/>
  <c r="AK32" i="16"/>
  <c r="O33" i="16"/>
  <c r="P33" i="16"/>
  <c r="S33" i="16"/>
  <c r="U33" i="16"/>
  <c r="Q33" i="16"/>
  <c r="R33" i="16"/>
  <c r="T33" i="16"/>
  <c r="V33" i="16"/>
  <c r="AA33" i="16"/>
  <c r="AB33" i="16"/>
  <c r="AC33" i="16"/>
  <c r="AD33" i="16"/>
  <c r="AF33" i="16"/>
  <c r="AH33" i="16"/>
  <c r="AI33" i="16"/>
  <c r="AJ33" i="16"/>
  <c r="AK33" i="16"/>
  <c r="O34" i="16"/>
  <c r="P34" i="16"/>
  <c r="S34" i="16"/>
  <c r="U34" i="16"/>
  <c r="Q34" i="16"/>
  <c r="R34" i="16"/>
  <c r="T34" i="16"/>
  <c r="V34" i="16"/>
  <c r="AA34" i="16"/>
  <c r="AB34" i="16"/>
  <c r="AC34" i="16"/>
  <c r="AD34" i="16"/>
  <c r="AF34" i="16"/>
  <c r="AH34" i="16"/>
  <c r="AI34" i="16"/>
  <c r="AJ34" i="16"/>
  <c r="AK34" i="16"/>
  <c r="O35" i="16"/>
  <c r="P35" i="16"/>
  <c r="S35" i="16"/>
  <c r="U35" i="16"/>
  <c r="Q35" i="16"/>
  <c r="R35" i="16"/>
  <c r="T35" i="16"/>
  <c r="V35" i="16"/>
  <c r="AA35" i="16"/>
  <c r="AB35" i="16"/>
  <c r="AC35" i="16"/>
  <c r="AD35" i="16"/>
  <c r="AF35" i="16"/>
  <c r="AH35" i="16"/>
  <c r="AI35" i="16"/>
  <c r="AJ35" i="16"/>
  <c r="AK35" i="16"/>
  <c r="O36" i="16"/>
  <c r="P36" i="16"/>
  <c r="S36" i="16"/>
  <c r="U36" i="16"/>
  <c r="Q36" i="16"/>
  <c r="R36" i="16"/>
  <c r="T36" i="16"/>
  <c r="V36" i="16"/>
  <c r="AA36" i="16"/>
  <c r="AB36" i="16"/>
  <c r="AC36" i="16"/>
  <c r="AD36" i="16"/>
  <c r="AF36" i="16"/>
  <c r="AH36" i="16"/>
  <c r="AI36" i="16"/>
  <c r="AJ36" i="16"/>
  <c r="AK36" i="16"/>
  <c r="AK43" i="16"/>
  <c r="AK44" i="16"/>
  <c r="AK45" i="16"/>
  <c r="AK46" i="16"/>
  <c r="AK47" i="16"/>
  <c r="AK48" i="16"/>
  <c r="AK50" i="16"/>
  <c r="AK51" i="16"/>
  <c r="AK52" i="16"/>
  <c r="AK53" i="16"/>
  <c r="AK54" i="16"/>
  <c r="AK42" i="16"/>
  <c r="AI43" i="16"/>
  <c r="AI44" i="16"/>
  <c r="AI45" i="16"/>
  <c r="AI46" i="16"/>
  <c r="AI47" i="16"/>
  <c r="AI48" i="16"/>
  <c r="AI50" i="16"/>
  <c r="AI51" i="16"/>
  <c r="AI52" i="16"/>
  <c r="AI53" i="16"/>
  <c r="AI54" i="16"/>
  <c r="AI42" i="16"/>
  <c r="AD43" i="16"/>
  <c r="AD44" i="16"/>
  <c r="AD45" i="16"/>
  <c r="AD46" i="16"/>
  <c r="AD47" i="16"/>
  <c r="AD48" i="16"/>
  <c r="AD50" i="16"/>
  <c r="AD51" i="16"/>
  <c r="AD52" i="16"/>
  <c r="AD53" i="16"/>
  <c r="AD54" i="16"/>
  <c r="AD42" i="16"/>
  <c r="AC43" i="16"/>
  <c r="AC44" i="16"/>
  <c r="AC45" i="16"/>
  <c r="AC46" i="16"/>
  <c r="AC47" i="16"/>
  <c r="AC48" i="16"/>
  <c r="AC50" i="16"/>
  <c r="AC51" i="16"/>
  <c r="AC52" i="16"/>
  <c r="AC53" i="16"/>
  <c r="AC54" i="16"/>
  <c r="AC42" i="16"/>
  <c r="AK7" i="16"/>
  <c r="AK8" i="16"/>
  <c r="AK9" i="16"/>
  <c r="AK10" i="16"/>
  <c r="AK11" i="16"/>
  <c r="AK12" i="16"/>
  <c r="AK14" i="16"/>
  <c r="AK15" i="16"/>
  <c r="AK16" i="16"/>
  <c r="AK17" i="16"/>
  <c r="AK18" i="16"/>
  <c r="AK6" i="16"/>
  <c r="AI7" i="16"/>
  <c r="AI8" i="16"/>
  <c r="AI9" i="16"/>
  <c r="AI10" i="16"/>
  <c r="AI11" i="16"/>
  <c r="AI12" i="16"/>
  <c r="AI14" i="16"/>
  <c r="AI15" i="16"/>
  <c r="AI16" i="16"/>
  <c r="AI17" i="16"/>
  <c r="AI18" i="16"/>
  <c r="AI6" i="16"/>
  <c r="AD7" i="16"/>
  <c r="AD8" i="16"/>
  <c r="AD9" i="16"/>
  <c r="AD10" i="16"/>
  <c r="AD11" i="16"/>
  <c r="AD12" i="16"/>
  <c r="AD14" i="16"/>
  <c r="AD15" i="16"/>
  <c r="AD16" i="16"/>
  <c r="AD17" i="16"/>
  <c r="AD18" i="16"/>
  <c r="AD6" i="16"/>
  <c r="AC7" i="16"/>
  <c r="AC8" i="16"/>
  <c r="AC9" i="16"/>
  <c r="AC10" i="16"/>
  <c r="AC11" i="16"/>
  <c r="AC12" i="16"/>
  <c r="AC14" i="16"/>
  <c r="AC15" i="16"/>
  <c r="AC16" i="16"/>
  <c r="AC17" i="16"/>
  <c r="AC18" i="16"/>
  <c r="AC6" i="16"/>
  <c r="AR7" i="16"/>
  <c r="AR8" i="16"/>
  <c r="AR9" i="16"/>
  <c r="AR10" i="16"/>
  <c r="AR11" i="16"/>
  <c r="AR12" i="16"/>
  <c r="AR13" i="16"/>
  <c r="AR14" i="16"/>
  <c r="AR15" i="16"/>
  <c r="AR16" i="16"/>
  <c r="AR17" i="16"/>
  <c r="AR18" i="16"/>
  <c r="AR6" i="16"/>
  <c r="AJ43" i="16"/>
  <c r="AJ44" i="16"/>
  <c r="AJ45" i="16"/>
  <c r="AJ46" i="16"/>
  <c r="AJ47" i="16"/>
  <c r="AJ48" i="16"/>
  <c r="AJ50" i="16"/>
  <c r="AJ51" i="16"/>
  <c r="AJ52" i="16"/>
  <c r="AJ53" i="16"/>
  <c r="AJ54" i="16"/>
  <c r="AJ42" i="16"/>
  <c r="AH43" i="16"/>
  <c r="AH44" i="16"/>
  <c r="AH45" i="16"/>
  <c r="AH46" i="16"/>
  <c r="AH47" i="16"/>
  <c r="AH48" i="16"/>
  <c r="AH50" i="16"/>
  <c r="AH51" i="16"/>
  <c r="AH52" i="16"/>
  <c r="AH53" i="16"/>
  <c r="AH54" i="16"/>
  <c r="AH42" i="16"/>
  <c r="AF43" i="16"/>
  <c r="AF44" i="16"/>
  <c r="AF45" i="16"/>
  <c r="AF46" i="16"/>
  <c r="AF47" i="16"/>
  <c r="AF48" i="16"/>
  <c r="AF50" i="16"/>
  <c r="AF51" i="16"/>
  <c r="AF52" i="16"/>
  <c r="AF53" i="16"/>
  <c r="AF54" i="16"/>
  <c r="AF42" i="16"/>
  <c r="AG42" i="16"/>
  <c r="AB43" i="16"/>
  <c r="AB44" i="16"/>
  <c r="AB45" i="16"/>
  <c r="AB46" i="16"/>
  <c r="AB47" i="16"/>
  <c r="AB48" i="16"/>
  <c r="AB50" i="16"/>
  <c r="AB51" i="16"/>
  <c r="AB52" i="16"/>
  <c r="AB53" i="16"/>
  <c r="AB54" i="16"/>
  <c r="AB42" i="16"/>
  <c r="AA43" i="16"/>
  <c r="AA44" i="16"/>
  <c r="AA45" i="16"/>
  <c r="AA46" i="16"/>
  <c r="AA47" i="16"/>
  <c r="AA48" i="16"/>
  <c r="AA50" i="16"/>
  <c r="AA51" i="16"/>
  <c r="AA52" i="16"/>
  <c r="AA53" i="16"/>
  <c r="AA54" i="16"/>
  <c r="AA42" i="16"/>
  <c r="AJ7" i="16"/>
  <c r="AJ8" i="16"/>
  <c r="AJ9" i="16"/>
  <c r="AJ10" i="16"/>
  <c r="AJ11" i="16"/>
  <c r="AJ12" i="16"/>
  <c r="AJ14" i="16"/>
  <c r="AJ15" i="16"/>
  <c r="AJ16" i="16"/>
  <c r="AJ17" i="16"/>
  <c r="AJ18" i="16"/>
  <c r="AJ6" i="16"/>
  <c r="AH7" i="16"/>
  <c r="AH8" i="16"/>
  <c r="AH9" i="16"/>
  <c r="AH10" i="16"/>
  <c r="AH11" i="16"/>
  <c r="AH12" i="16"/>
  <c r="AH14" i="16"/>
  <c r="AH15" i="16"/>
  <c r="AH16" i="16"/>
  <c r="AH17" i="16"/>
  <c r="AH18" i="16"/>
  <c r="AH6" i="16"/>
  <c r="AF7" i="16"/>
  <c r="AF8" i="16"/>
  <c r="AF9" i="16"/>
  <c r="AF10" i="16"/>
  <c r="AF11" i="16"/>
  <c r="AF12" i="16"/>
  <c r="AF14" i="16"/>
  <c r="AF15" i="16"/>
  <c r="AF16" i="16"/>
  <c r="AF17" i="16"/>
  <c r="AF18" i="16"/>
  <c r="AF6" i="16"/>
  <c r="AG6" i="16"/>
  <c r="BA6" i="16"/>
  <c r="AB7" i="16"/>
  <c r="AB8" i="16"/>
  <c r="AB9" i="16"/>
  <c r="AB10" i="16"/>
  <c r="AB11" i="16"/>
  <c r="AB12" i="16"/>
  <c r="AB14" i="16"/>
  <c r="AB15" i="16"/>
  <c r="AB16" i="16"/>
  <c r="AB17" i="16"/>
  <c r="AB18" i="16"/>
  <c r="AB6" i="16"/>
  <c r="AA7" i="16"/>
  <c r="AA8" i="16"/>
  <c r="AA9" i="16"/>
  <c r="AA10" i="16"/>
  <c r="AA11" i="16"/>
  <c r="AA12" i="16"/>
  <c r="AA14" i="16"/>
  <c r="AA15" i="16"/>
  <c r="AA16" i="16"/>
  <c r="AA17" i="16"/>
  <c r="AA18" i="16"/>
  <c r="AA6" i="16"/>
  <c r="O43" i="16"/>
  <c r="W43" i="16"/>
  <c r="O44" i="16"/>
  <c r="O45" i="16"/>
  <c r="O46" i="16"/>
  <c r="O47" i="16"/>
  <c r="O48" i="16"/>
  <c r="O49" i="16"/>
  <c r="O50" i="16"/>
  <c r="O51" i="16"/>
  <c r="O52" i="16"/>
  <c r="O53" i="16"/>
  <c r="O54" i="16"/>
  <c r="O42" i="16"/>
  <c r="O7" i="16"/>
  <c r="O8" i="16"/>
  <c r="AS8" i="16"/>
  <c r="O9" i="16"/>
  <c r="AS9" i="16"/>
  <c r="O10" i="16"/>
  <c r="AS10" i="16"/>
  <c r="O11" i="16"/>
  <c r="AS11" i="16"/>
  <c r="O12" i="16"/>
  <c r="AS12" i="16"/>
  <c r="O13" i="16"/>
  <c r="AS13" i="16"/>
  <c r="O14" i="16"/>
  <c r="AS14" i="16"/>
  <c r="O15" i="16"/>
  <c r="AS15" i="16"/>
  <c r="O16" i="16"/>
  <c r="AS16" i="16"/>
  <c r="O17" i="16"/>
  <c r="AS17" i="16"/>
  <c r="O18" i="16"/>
  <c r="AS18" i="16"/>
  <c r="O6" i="16"/>
  <c r="Q54" i="16"/>
  <c r="R54" i="16"/>
  <c r="T54" i="16"/>
  <c r="V54" i="16"/>
  <c r="P54" i="16"/>
  <c r="S54" i="16"/>
  <c r="U54" i="16"/>
  <c r="Q53" i="16"/>
  <c r="R53" i="16"/>
  <c r="T53" i="16"/>
  <c r="P53" i="16"/>
  <c r="S53" i="16"/>
  <c r="U53" i="16"/>
  <c r="Q52" i="16"/>
  <c r="R52" i="16"/>
  <c r="T52" i="16"/>
  <c r="P52" i="16"/>
  <c r="S52" i="16"/>
  <c r="U52" i="16"/>
  <c r="Q51" i="16"/>
  <c r="R51" i="16"/>
  <c r="T51" i="16"/>
  <c r="V51" i="16"/>
  <c r="P51" i="16"/>
  <c r="S51" i="16"/>
  <c r="Q50" i="16"/>
  <c r="R50" i="16"/>
  <c r="T50" i="16"/>
  <c r="V50" i="16"/>
  <c r="P50" i="16"/>
  <c r="S50" i="16"/>
  <c r="U50" i="16"/>
  <c r="Q49" i="16"/>
  <c r="R49" i="16"/>
  <c r="T49" i="16"/>
  <c r="V49" i="16"/>
  <c r="P49" i="16"/>
  <c r="S49" i="16"/>
  <c r="Q48" i="16"/>
  <c r="R48" i="16"/>
  <c r="T48" i="16"/>
  <c r="P48" i="16"/>
  <c r="S48" i="16"/>
  <c r="Q47" i="16"/>
  <c r="R47" i="16"/>
  <c r="T47" i="16"/>
  <c r="V47" i="16"/>
  <c r="P47" i="16"/>
  <c r="S47" i="16"/>
  <c r="U47" i="16"/>
  <c r="Q46" i="16"/>
  <c r="R46" i="16"/>
  <c r="T46" i="16"/>
  <c r="V46" i="16"/>
  <c r="P46" i="16"/>
  <c r="S46" i="16"/>
  <c r="U46" i="16"/>
  <c r="Q45" i="16"/>
  <c r="R45" i="16"/>
  <c r="T45" i="16"/>
  <c r="P45" i="16"/>
  <c r="S45" i="16"/>
  <c r="U45" i="16"/>
  <c r="Q44" i="16"/>
  <c r="R44" i="16"/>
  <c r="T44" i="16"/>
  <c r="P44" i="16"/>
  <c r="S44" i="16"/>
  <c r="Q43" i="16"/>
  <c r="R43" i="16"/>
  <c r="T43" i="16"/>
  <c r="V43" i="16"/>
  <c r="P43" i="16"/>
  <c r="S43" i="16"/>
  <c r="Q42" i="16"/>
  <c r="R42" i="16"/>
  <c r="T42" i="16"/>
  <c r="V42" i="16"/>
  <c r="P42" i="16"/>
  <c r="S42" i="16"/>
  <c r="U42" i="16"/>
  <c r="Q18" i="16"/>
  <c r="R18" i="16"/>
  <c r="T18" i="16"/>
  <c r="P18" i="16"/>
  <c r="S18" i="16"/>
  <c r="U18" i="16"/>
  <c r="Q17" i="16"/>
  <c r="R17" i="16"/>
  <c r="T17" i="16"/>
  <c r="V17" i="16"/>
  <c r="P17" i="16"/>
  <c r="S17" i="16"/>
  <c r="U17" i="16"/>
  <c r="Q16" i="16"/>
  <c r="R16" i="16"/>
  <c r="T16" i="16"/>
  <c r="V16" i="16"/>
  <c r="P16" i="16"/>
  <c r="S16" i="16"/>
  <c r="U16" i="16"/>
  <c r="Q15" i="16"/>
  <c r="R15" i="16"/>
  <c r="T15" i="16"/>
  <c r="V15" i="16"/>
  <c r="P15" i="16"/>
  <c r="S15" i="16"/>
  <c r="U15" i="16"/>
  <c r="Q14" i="16"/>
  <c r="R14" i="16"/>
  <c r="T14" i="16"/>
  <c r="V14" i="16"/>
  <c r="P14" i="16"/>
  <c r="S14" i="16"/>
  <c r="U14" i="16"/>
  <c r="Q13" i="16"/>
  <c r="R13" i="16"/>
  <c r="T13" i="16"/>
  <c r="V13" i="16"/>
  <c r="P13" i="16"/>
  <c r="S13" i="16"/>
  <c r="U13" i="16"/>
  <c r="Q12" i="16"/>
  <c r="R12" i="16"/>
  <c r="T12" i="16"/>
  <c r="V12" i="16"/>
  <c r="P12" i="16"/>
  <c r="S12" i="16"/>
  <c r="U12" i="16"/>
  <c r="Q11" i="16"/>
  <c r="R11" i="16"/>
  <c r="T11" i="16"/>
  <c r="V11" i="16"/>
  <c r="P11" i="16"/>
  <c r="S11" i="16"/>
  <c r="U11" i="16"/>
  <c r="Q10" i="16"/>
  <c r="R10" i="16"/>
  <c r="T10" i="16"/>
  <c r="V10" i="16"/>
  <c r="P10" i="16"/>
  <c r="S10" i="16"/>
  <c r="U10" i="16"/>
  <c r="Q9" i="16"/>
  <c r="R9" i="16"/>
  <c r="T9" i="16"/>
  <c r="V9" i="16"/>
  <c r="P9" i="16"/>
  <c r="S9" i="16"/>
  <c r="U9" i="16"/>
  <c r="Q8" i="16"/>
  <c r="R8" i="16"/>
  <c r="T8" i="16"/>
  <c r="V8" i="16"/>
  <c r="P8" i="16"/>
  <c r="S8" i="16"/>
  <c r="U8" i="16"/>
  <c r="Q7" i="16"/>
  <c r="R7" i="16"/>
  <c r="T7" i="16"/>
  <c r="V7" i="16"/>
  <c r="P7" i="16"/>
  <c r="S7" i="16"/>
  <c r="U7" i="16"/>
  <c r="Q6" i="16"/>
  <c r="R6" i="16"/>
  <c r="T6" i="16"/>
  <c r="V6" i="16"/>
  <c r="P6" i="16"/>
  <c r="S6" i="16"/>
  <c r="N6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42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24" i="13"/>
  <c r="M7" i="13"/>
  <c r="M8" i="13"/>
  <c r="M9" i="13"/>
  <c r="M10" i="13"/>
  <c r="M11" i="13"/>
  <c r="M12" i="13"/>
  <c r="M13" i="13"/>
  <c r="M14" i="13"/>
  <c r="M15" i="13"/>
  <c r="M16" i="13"/>
  <c r="M17" i="13"/>
  <c r="M18" i="13"/>
  <c r="M6" i="13"/>
  <c r="C6" i="13"/>
  <c r="E18" i="15"/>
  <c r="C18" i="13"/>
  <c r="E17" i="15"/>
  <c r="C17" i="13"/>
  <c r="E16" i="15"/>
  <c r="C16" i="13"/>
  <c r="E15" i="15"/>
  <c r="C15" i="13"/>
  <c r="E14" i="15"/>
  <c r="C14" i="13"/>
  <c r="E13" i="15"/>
  <c r="C13" i="13"/>
  <c r="E12" i="15"/>
  <c r="C12" i="13"/>
  <c r="E11" i="15"/>
  <c r="C11" i="13"/>
  <c r="E10" i="15"/>
  <c r="C10" i="13"/>
  <c r="E9" i="15"/>
  <c r="C9" i="13"/>
  <c r="E7" i="15"/>
  <c r="C7" i="13"/>
  <c r="E6" i="15"/>
  <c r="O54" i="13"/>
  <c r="P54" i="13"/>
  <c r="R54" i="13"/>
  <c r="N54" i="13"/>
  <c r="Q54" i="13"/>
  <c r="O53" i="13"/>
  <c r="P53" i="13"/>
  <c r="R53" i="13"/>
  <c r="N53" i="13"/>
  <c r="Q53" i="13"/>
  <c r="O52" i="13"/>
  <c r="P52" i="13"/>
  <c r="R52" i="13"/>
  <c r="N52" i="13"/>
  <c r="Q52" i="13"/>
  <c r="O51" i="13"/>
  <c r="P51" i="13"/>
  <c r="R51" i="13"/>
  <c r="N51" i="13"/>
  <c r="Q51" i="13"/>
  <c r="O50" i="13"/>
  <c r="P50" i="13"/>
  <c r="R50" i="13"/>
  <c r="N50" i="13"/>
  <c r="Q50" i="13"/>
  <c r="O49" i="13"/>
  <c r="P49" i="13"/>
  <c r="R49" i="13"/>
  <c r="N49" i="13"/>
  <c r="Q49" i="13"/>
  <c r="O48" i="13"/>
  <c r="P48" i="13"/>
  <c r="R48" i="13"/>
  <c r="N48" i="13"/>
  <c r="Q48" i="13"/>
  <c r="O47" i="13"/>
  <c r="P47" i="13"/>
  <c r="R47" i="13"/>
  <c r="N47" i="13"/>
  <c r="Q47" i="13"/>
  <c r="O46" i="13"/>
  <c r="P46" i="13"/>
  <c r="R46" i="13"/>
  <c r="N46" i="13"/>
  <c r="Q46" i="13"/>
  <c r="O45" i="13"/>
  <c r="P45" i="13"/>
  <c r="R45" i="13"/>
  <c r="N45" i="13"/>
  <c r="Q45" i="13"/>
  <c r="O44" i="13"/>
  <c r="P44" i="13"/>
  <c r="R44" i="13"/>
  <c r="N44" i="13"/>
  <c r="Q44" i="13"/>
  <c r="O43" i="13"/>
  <c r="P43" i="13"/>
  <c r="R43" i="13"/>
  <c r="N43" i="13"/>
  <c r="Q43" i="13"/>
  <c r="O42" i="13"/>
  <c r="P42" i="13"/>
  <c r="R42" i="13"/>
  <c r="N42" i="13"/>
  <c r="Q42" i="13"/>
  <c r="O36" i="13"/>
  <c r="P36" i="13"/>
  <c r="R36" i="13"/>
  <c r="N36" i="13"/>
  <c r="Q36" i="13"/>
  <c r="O35" i="13"/>
  <c r="P35" i="13"/>
  <c r="R35" i="13"/>
  <c r="N35" i="13"/>
  <c r="Q35" i="13"/>
  <c r="O34" i="13"/>
  <c r="P34" i="13"/>
  <c r="R34" i="13"/>
  <c r="N34" i="13"/>
  <c r="Q34" i="13"/>
  <c r="O33" i="13"/>
  <c r="P33" i="13"/>
  <c r="R33" i="13"/>
  <c r="N33" i="13"/>
  <c r="Q33" i="13"/>
  <c r="T33" i="13"/>
  <c r="W33" i="13"/>
  <c r="O32" i="13"/>
  <c r="P32" i="13"/>
  <c r="R32" i="13"/>
  <c r="N32" i="13"/>
  <c r="Q32" i="13"/>
  <c r="O31" i="13"/>
  <c r="P31" i="13"/>
  <c r="R31" i="13"/>
  <c r="N31" i="13"/>
  <c r="Q31" i="13"/>
  <c r="O30" i="13"/>
  <c r="P30" i="13"/>
  <c r="R30" i="13"/>
  <c r="N30" i="13"/>
  <c r="Q30" i="13"/>
  <c r="O29" i="13"/>
  <c r="P29" i="13"/>
  <c r="R29" i="13"/>
  <c r="N29" i="13"/>
  <c r="Q29" i="13"/>
  <c r="O28" i="13"/>
  <c r="P28" i="13"/>
  <c r="R28" i="13"/>
  <c r="N28" i="13"/>
  <c r="Q28" i="13"/>
  <c r="O27" i="13"/>
  <c r="P27" i="13"/>
  <c r="R27" i="13"/>
  <c r="N27" i="13"/>
  <c r="Q27" i="13"/>
  <c r="O26" i="13"/>
  <c r="P26" i="13"/>
  <c r="R26" i="13"/>
  <c r="N26" i="13"/>
  <c r="Q26" i="13"/>
  <c r="O25" i="13"/>
  <c r="P25" i="13"/>
  <c r="R25" i="13"/>
  <c r="N25" i="13"/>
  <c r="Q25" i="13"/>
  <c r="O24" i="13"/>
  <c r="P24" i="13"/>
  <c r="R24" i="13"/>
  <c r="N24" i="13"/>
  <c r="Q24" i="13"/>
  <c r="O18" i="13"/>
  <c r="P18" i="13"/>
  <c r="R18" i="13"/>
  <c r="N18" i="13"/>
  <c r="Q18" i="13"/>
  <c r="O17" i="13"/>
  <c r="P17" i="13"/>
  <c r="R17" i="13"/>
  <c r="N17" i="13"/>
  <c r="Q17" i="13"/>
  <c r="O16" i="13"/>
  <c r="P16" i="13"/>
  <c r="R16" i="13"/>
  <c r="N16" i="13"/>
  <c r="Q16" i="13"/>
  <c r="O15" i="13"/>
  <c r="P15" i="13"/>
  <c r="R15" i="13"/>
  <c r="N15" i="13"/>
  <c r="Q15" i="13"/>
  <c r="O14" i="13"/>
  <c r="P14" i="13"/>
  <c r="R14" i="13"/>
  <c r="N14" i="13"/>
  <c r="Q14" i="13"/>
  <c r="O13" i="13"/>
  <c r="P13" i="13"/>
  <c r="R13" i="13"/>
  <c r="O12" i="13"/>
  <c r="P12" i="13"/>
  <c r="R12" i="13"/>
  <c r="N12" i="13"/>
  <c r="Q12" i="13"/>
  <c r="O11" i="13"/>
  <c r="P11" i="13"/>
  <c r="R11" i="13"/>
  <c r="N11" i="13"/>
  <c r="Q11" i="13"/>
  <c r="O10" i="13"/>
  <c r="P10" i="13"/>
  <c r="R10" i="13"/>
  <c r="N10" i="13"/>
  <c r="Q10" i="13"/>
  <c r="O9" i="13"/>
  <c r="P9" i="13"/>
  <c r="R9" i="13"/>
  <c r="N9" i="13"/>
  <c r="Q9" i="13"/>
  <c r="O8" i="13"/>
  <c r="P8" i="13"/>
  <c r="R8" i="13"/>
  <c r="N8" i="13"/>
  <c r="Q8" i="13"/>
  <c r="O7" i="13"/>
  <c r="P7" i="13"/>
  <c r="R7" i="13"/>
  <c r="N7" i="13"/>
  <c r="Q7" i="13"/>
  <c r="Q6" i="13"/>
  <c r="AS7" i="16"/>
  <c r="AS6" i="16"/>
  <c r="X25" i="16"/>
  <c r="AL30" i="16"/>
  <c r="AL32" i="16"/>
  <c r="Y25" i="16"/>
  <c r="AL26" i="19"/>
  <c r="AW16" i="19"/>
  <c r="AE33" i="19"/>
  <c r="AL34" i="19"/>
  <c r="AW18" i="19"/>
  <c r="AG26" i="19"/>
  <c r="AG27" i="19"/>
  <c r="AG28" i="19"/>
  <c r="AG29" i="19"/>
  <c r="AG30" i="19"/>
  <c r="AE25" i="19"/>
  <c r="AL30" i="19"/>
  <c r="AL36" i="19"/>
  <c r="AT18" i="19"/>
  <c r="Y25" i="19"/>
  <c r="AE28" i="19"/>
  <c r="AL32" i="19"/>
  <c r="W33" i="19"/>
  <c r="X33" i="19"/>
  <c r="W34" i="19"/>
  <c r="AL9" i="19"/>
  <c r="AE7" i="19"/>
  <c r="AE12" i="19"/>
  <c r="AS12" i="19"/>
  <c r="Y6" i="19"/>
  <c r="Z6" i="19"/>
  <c r="AL7" i="19"/>
  <c r="AE9" i="19"/>
  <c r="AE15" i="19"/>
  <c r="AS15" i="19"/>
  <c r="AE26" i="16"/>
  <c r="X24" i="16"/>
  <c r="AL34" i="16"/>
  <c r="AE29" i="16"/>
  <c r="AE33" i="16"/>
  <c r="AE24" i="16"/>
  <c r="AL35" i="16"/>
  <c r="AE32" i="16"/>
  <c r="AL26" i="16"/>
  <c r="AW14" i="19"/>
  <c r="AL43" i="19"/>
  <c r="AE48" i="19"/>
  <c r="AE53" i="19"/>
  <c r="AG43" i="19"/>
  <c r="AG44" i="19"/>
  <c r="AG45" i="19"/>
  <c r="AG46" i="19"/>
  <c r="AG47" i="19"/>
  <c r="AG48" i="19"/>
  <c r="AE45" i="19"/>
  <c r="AL48" i="19"/>
  <c r="AT12" i="19"/>
  <c r="AL53" i="19"/>
  <c r="AL51" i="19"/>
  <c r="AW6" i="19"/>
  <c r="AE27" i="19"/>
  <c r="AE35" i="19"/>
  <c r="AS17" i="19"/>
  <c r="AL24" i="19"/>
  <c r="AL25" i="19"/>
  <c r="AL33" i="19"/>
  <c r="AL12" i="19"/>
  <c r="AL14" i="19"/>
  <c r="AE16" i="19"/>
  <c r="AL17" i="19"/>
  <c r="AE8" i="19"/>
  <c r="AE10" i="19"/>
  <c r="AE14" i="19"/>
  <c r="AL16" i="19"/>
  <c r="AE11" i="19"/>
  <c r="AT10" i="19"/>
  <c r="AL8" i="19"/>
  <c r="W9" i="19"/>
  <c r="Y9" i="19"/>
  <c r="W13" i="19"/>
  <c r="X25" i="19"/>
  <c r="AL27" i="19"/>
  <c r="AL35" i="19"/>
  <c r="W52" i="19"/>
  <c r="Y52" i="19"/>
  <c r="W54" i="19"/>
  <c r="X54" i="19"/>
  <c r="Y8" i="19"/>
  <c r="W10" i="19"/>
  <c r="X10" i="19"/>
  <c r="Y31" i="19"/>
  <c r="Y54" i="19"/>
  <c r="Y7" i="19"/>
  <c r="AS7" i="19"/>
  <c r="X8" i="19"/>
  <c r="AE18" i="19"/>
  <c r="Y24" i="19"/>
  <c r="Y26" i="19"/>
  <c r="AL29" i="19"/>
  <c r="AT11" i="19"/>
  <c r="Y34" i="19"/>
  <c r="W50" i="19"/>
  <c r="X50" i="19"/>
  <c r="X24" i="19"/>
  <c r="X26" i="19"/>
  <c r="X29" i="19"/>
  <c r="Y32" i="19"/>
  <c r="X34" i="19"/>
  <c r="X42" i="19"/>
  <c r="W48" i="19"/>
  <c r="X48" i="19"/>
  <c r="Y51" i="19"/>
  <c r="W14" i="19"/>
  <c r="Y16" i="19"/>
  <c r="X7" i="19"/>
  <c r="W11" i="19"/>
  <c r="Y11" i="19"/>
  <c r="AT13" i="19"/>
  <c r="Y14" i="19"/>
  <c r="Y15" i="19"/>
  <c r="X16" i="19"/>
  <c r="X17" i="19"/>
  <c r="W18" i="19"/>
  <c r="X18" i="19"/>
  <c r="AE24" i="19"/>
  <c r="AE26" i="19"/>
  <c r="W28" i="19"/>
  <c r="X28" i="19"/>
  <c r="Y29" i="19"/>
  <c r="X32" i="19"/>
  <c r="AE34" i="19"/>
  <c r="W36" i="19"/>
  <c r="Y36" i="19"/>
  <c r="Y42" i="19"/>
  <c r="W46" i="19"/>
  <c r="W47" i="19"/>
  <c r="X47" i="19"/>
  <c r="X49" i="19"/>
  <c r="AS9" i="19"/>
  <c r="Y10" i="19"/>
  <c r="X13" i="19"/>
  <c r="AE29" i="19"/>
  <c r="AE32" i="19"/>
  <c r="AE42" i="19"/>
  <c r="W45" i="19"/>
  <c r="Y45" i="19"/>
  <c r="Y46" i="19"/>
  <c r="X51" i="19"/>
  <c r="Y53" i="19"/>
  <c r="Y12" i="19"/>
  <c r="Y13" i="19"/>
  <c r="X14" i="19"/>
  <c r="X15" i="19"/>
  <c r="W27" i="19"/>
  <c r="Y27" i="19"/>
  <c r="W30" i="19"/>
  <c r="X30" i="19"/>
  <c r="W35" i="19"/>
  <c r="Y35" i="19"/>
  <c r="Y44" i="19"/>
  <c r="X46" i="19"/>
  <c r="X53" i="19"/>
  <c r="AS10" i="19"/>
  <c r="X31" i="19"/>
  <c r="X44" i="19"/>
  <c r="AG7" i="19"/>
  <c r="AL33" i="16"/>
  <c r="AE30" i="16"/>
  <c r="AL27" i="16"/>
  <c r="AE25" i="16"/>
  <c r="AL36" i="16"/>
  <c r="AE34" i="16"/>
  <c r="AL29" i="16"/>
  <c r="AL25" i="16"/>
  <c r="AG25" i="16"/>
  <c r="AG26" i="16"/>
  <c r="AG27" i="16"/>
  <c r="AG28" i="16"/>
  <c r="AG29" i="16"/>
  <c r="AG30" i="16"/>
  <c r="AE35" i="16"/>
  <c r="AL28" i="16"/>
  <c r="AE36" i="16"/>
  <c r="AE28" i="16"/>
  <c r="AE27" i="16"/>
  <c r="AL24" i="16"/>
  <c r="Y24" i="16"/>
  <c r="W35" i="16"/>
  <c r="X35" i="16"/>
  <c r="W36" i="16"/>
  <c r="Y36" i="16"/>
  <c r="Y32" i="16"/>
  <c r="W33" i="16"/>
  <c r="X33" i="16"/>
  <c r="W31" i="16"/>
  <c r="X31" i="16"/>
  <c r="W27" i="16"/>
  <c r="Y27" i="16"/>
  <c r="W28" i="16"/>
  <c r="Y28" i="16"/>
  <c r="W30" i="16"/>
  <c r="Y30" i="16"/>
  <c r="W29" i="16"/>
  <c r="X29" i="16"/>
  <c r="W34" i="16"/>
  <c r="Y34" i="16"/>
  <c r="Y35" i="16"/>
  <c r="W26" i="16"/>
  <c r="X26" i="16"/>
  <c r="X32" i="16"/>
  <c r="AZ13" i="16"/>
  <c r="AZ9" i="16"/>
  <c r="AZ10" i="16"/>
  <c r="AZ17" i="16"/>
  <c r="AZ8" i="16"/>
  <c r="AZ18" i="16"/>
  <c r="AZ15" i="16"/>
  <c r="AL50" i="16"/>
  <c r="AZ12" i="16"/>
  <c r="AZ14" i="16"/>
  <c r="AZ16" i="16"/>
  <c r="X7" i="16"/>
  <c r="X6" i="16"/>
  <c r="AL10" i="16"/>
  <c r="AE17" i="16"/>
  <c r="AG43" i="16"/>
  <c r="AG44" i="16"/>
  <c r="AG45" i="16"/>
  <c r="AG46" i="16"/>
  <c r="AG47" i="16"/>
  <c r="AG48" i="16"/>
  <c r="AE53" i="16"/>
  <c r="AE45" i="16"/>
  <c r="AZ7" i="16"/>
  <c r="AL43" i="16"/>
  <c r="AE46" i="16"/>
  <c r="AZ11" i="16"/>
  <c r="AE6" i="16"/>
  <c r="X17" i="16"/>
  <c r="AL18" i="16"/>
  <c r="AL54" i="16"/>
  <c r="AL42" i="16"/>
  <c r="AE43" i="16"/>
  <c r="AE48" i="16"/>
  <c r="AE50" i="16"/>
  <c r="AL9" i="16"/>
  <c r="AL15" i="16"/>
  <c r="AE8" i="16"/>
  <c r="AE11" i="16"/>
  <c r="AE12" i="16"/>
  <c r="AE44" i="16"/>
  <c r="AL46" i="16"/>
  <c r="AE51" i="16"/>
  <c r="AL52" i="16"/>
  <c r="AE10" i="16"/>
  <c r="AL16" i="16"/>
  <c r="AL45" i="16"/>
  <c r="AE47" i="16"/>
  <c r="AL12" i="16"/>
  <c r="AL14" i="16"/>
  <c r="AE18" i="16"/>
  <c r="AL51" i="16"/>
  <c r="W54" i="16"/>
  <c r="Y54" i="16"/>
  <c r="AL8" i="16"/>
  <c r="AL11" i="16"/>
  <c r="AE15" i="16"/>
  <c r="AL48" i="16"/>
  <c r="AL53" i="16"/>
  <c r="AL6" i="16"/>
  <c r="AE7" i="16"/>
  <c r="AL7" i="16"/>
  <c r="AE9" i="16"/>
  <c r="AE14" i="16"/>
  <c r="AE54" i="16"/>
  <c r="X12" i="16"/>
  <c r="V18" i="16"/>
  <c r="X9" i="16"/>
  <c r="AG7" i="16"/>
  <c r="X8" i="16"/>
  <c r="X10" i="16"/>
  <c r="X11" i="16"/>
  <c r="X14" i="16"/>
  <c r="AZ6" i="16"/>
  <c r="W47" i="16"/>
  <c r="X47" i="16"/>
  <c r="AE16" i="16"/>
  <c r="U44" i="16"/>
  <c r="U43" i="16"/>
  <c r="Y43" i="16"/>
  <c r="AL17" i="16"/>
  <c r="V45" i="16"/>
  <c r="X43" i="16"/>
  <c r="W46" i="16"/>
  <c r="X46" i="16"/>
  <c r="V52" i="16"/>
  <c r="AE42" i="16"/>
  <c r="V44" i="16"/>
  <c r="W42" i="16"/>
  <c r="X42" i="16"/>
  <c r="AL44" i="16"/>
  <c r="U48" i="16"/>
  <c r="W51" i="16"/>
  <c r="X51" i="16"/>
  <c r="AE52" i="16"/>
  <c r="V48" i="16"/>
  <c r="U49" i="16"/>
  <c r="AL47" i="16"/>
  <c r="W49" i="16"/>
  <c r="X49" i="16"/>
  <c r="U51" i="16"/>
  <c r="V53" i="16"/>
  <c r="W50" i="16"/>
  <c r="X50" i="16"/>
  <c r="T6" i="13"/>
  <c r="W6" i="13"/>
  <c r="V6" i="13"/>
  <c r="AE6" i="13"/>
  <c r="AC6" i="13"/>
  <c r="V33" i="13"/>
  <c r="AC33" i="13"/>
  <c r="AE33" i="13"/>
  <c r="T29" i="13"/>
  <c r="T7" i="13"/>
  <c r="T44" i="13"/>
  <c r="T11" i="13"/>
  <c r="T27" i="13"/>
  <c r="T32" i="13"/>
  <c r="T53" i="13"/>
  <c r="T43" i="13"/>
  <c r="T52" i="13"/>
  <c r="S28" i="13"/>
  <c r="S15" i="13"/>
  <c r="S45" i="13"/>
  <c r="T15" i="13"/>
  <c r="T28" i="13"/>
  <c r="T17" i="13"/>
  <c r="S34" i="13"/>
  <c r="S49" i="13"/>
  <c r="T54" i="13"/>
  <c r="T10" i="13"/>
  <c r="S24" i="13"/>
  <c r="S53" i="13"/>
  <c r="T9" i="13"/>
  <c r="S12" i="13"/>
  <c r="S16" i="13"/>
  <c r="S7" i="13"/>
  <c r="S10" i="13"/>
  <c r="S11" i="13"/>
  <c r="T12" i="13"/>
  <c r="T14" i="13"/>
  <c r="S14" i="13"/>
  <c r="T16" i="13"/>
  <c r="T18" i="13"/>
  <c r="S18" i="13"/>
  <c r="T30" i="13"/>
  <c r="S30" i="13"/>
  <c r="T24" i="13"/>
  <c r="S29" i="13"/>
  <c r="T42" i="13"/>
  <c r="S9" i="13"/>
  <c r="S13" i="13"/>
  <c r="S17" i="13"/>
  <c r="S32" i="13"/>
  <c r="T25" i="13"/>
  <c r="S25" i="13"/>
  <c r="T26" i="13"/>
  <c r="S31" i="13"/>
  <c r="T34" i="13"/>
  <c r="T35" i="13"/>
  <c r="S27" i="13"/>
  <c r="T36" i="13"/>
  <c r="S36" i="13"/>
  <c r="S42" i="13"/>
  <c r="T31" i="13"/>
  <c r="S33" i="13"/>
  <c r="S43" i="13"/>
  <c r="S48" i="13"/>
  <c r="S35" i="13"/>
  <c r="S44" i="13"/>
  <c r="T48" i="13"/>
  <c r="T49" i="13"/>
  <c r="T50" i="13"/>
  <c r="T51" i="13"/>
  <c r="S51" i="13"/>
  <c r="T45" i="13"/>
  <c r="T46" i="13"/>
  <c r="S46" i="13"/>
  <c r="T47" i="13"/>
  <c r="S47" i="13"/>
  <c r="S52" i="13"/>
  <c r="S50" i="13"/>
  <c r="S54" i="13"/>
  <c r="Z24" i="16"/>
  <c r="Z25" i="16"/>
  <c r="BA7" i="16"/>
  <c r="X27" i="16"/>
  <c r="Y33" i="19"/>
  <c r="X36" i="19"/>
  <c r="AS13" i="19"/>
  <c r="Z7" i="19"/>
  <c r="X36" i="16"/>
  <c r="AT15" i="19"/>
  <c r="AT17" i="19"/>
  <c r="Z8" i="19"/>
  <c r="AT8" i="19"/>
  <c r="AU13" i="19"/>
  <c r="AT6" i="19"/>
  <c r="AT7" i="19"/>
  <c r="AT16" i="19"/>
  <c r="AU11" i="19"/>
  <c r="AT9" i="19"/>
  <c r="AT14" i="19"/>
  <c r="AU9" i="19"/>
  <c r="AU17" i="19"/>
  <c r="X52" i="19"/>
  <c r="X35" i="19"/>
  <c r="Y30" i="19"/>
  <c r="AS11" i="19"/>
  <c r="AS16" i="19"/>
  <c r="X45" i="19"/>
  <c r="AS14" i="19"/>
  <c r="Y50" i="19"/>
  <c r="Y18" i="19"/>
  <c r="AS6" i="19"/>
  <c r="AU12" i="19"/>
  <c r="AS8" i="19"/>
  <c r="AU14" i="19"/>
  <c r="X27" i="19"/>
  <c r="X11" i="19"/>
  <c r="AG8" i="19"/>
  <c r="AU10" i="19"/>
  <c r="AS18" i="19"/>
  <c r="Y48" i="19"/>
  <c r="X9" i="19"/>
  <c r="Z9" i="19"/>
  <c r="Z10" i="19"/>
  <c r="Y47" i="19"/>
  <c r="AU15" i="19"/>
  <c r="Z24" i="19"/>
  <c r="Z25" i="19"/>
  <c r="Z26" i="19"/>
  <c r="AU7" i="19"/>
  <c r="Y28" i="19"/>
  <c r="Z42" i="19"/>
  <c r="Z43" i="19"/>
  <c r="Z44" i="19"/>
  <c r="Z45" i="19"/>
  <c r="Z46" i="19"/>
  <c r="X28" i="16"/>
  <c r="X34" i="16"/>
  <c r="Y29" i="16"/>
  <c r="Y31" i="16"/>
  <c r="Y33" i="16"/>
  <c r="X30" i="16"/>
  <c r="Y26" i="16"/>
  <c r="X54" i="16"/>
  <c r="AW15" i="16"/>
  <c r="AV11" i="16"/>
  <c r="AV17" i="16"/>
  <c r="AV10" i="16"/>
  <c r="AV8" i="16"/>
  <c r="AV7" i="16"/>
  <c r="AV12" i="16"/>
  <c r="AV14" i="16"/>
  <c r="Z6" i="16"/>
  <c r="Z7" i="16"/>
  <c r="AW8" i="16"/>
  <c r="AW7" i="16"/>
  <c r="AV13" i="16"/>
  <c r="AV18" i="16"/>
  <c r="AV9" i="16"/>
  <c r="AW11" i="16"/>
  <c r="AW18" i="16"/>
  <c r="AW13" i="16"/>
  <c r="AW14" i="16"/>
  <c r="AW9" i="16"/>
  <c r="AV15" i="16"/>
  <c r="Y50" i="16"/>
  <c r="X13" i="16"/>
  <c r="AW17" i="16"/>
  <c r="Y51" i="16"/>
  <c r="Y49" i="16"/>
  <c r="AV6" i="16"/>
  <c r="W48" i="16"/>
  <c r="X48" i="16"/>
  <c r="W52" i="16"/>
  <c r="Y52" i="16"/>
  <c r="AW16" i="16"/>
  <c r="W45" i="16"/>
  <c r="Y45" i="16"/>
  <c r="Y42" i="16"/>
  <c r="Z42" i="16"/>
  <c r="Z43" i="16"/>
  <c r="X15" i="16"/>
  <c r="X16" i="16"/>
  <c r="W44" i="16"/>
  <c r="X44" i="16"/>
  <c r="Y46" i="16"/>
  <c r="Y47" i="16"/>
  <c r="AV16" i="16"/>
  <c r="W53" i="16"/>
  <c r="Y53" i="16"/>
  <c r="AG8" i="16"/>
  <c r="BA8" i="16"/>
  <c r="Y35" i="13"/>
  <c r="AF35" i="13"/>
  <c r="AD35" i="13"/>
  <c r="X35" i="13"/>
  <c r="AD10" i="13"/>
  <c r="Y10" i="13"/>
  <c r="X10" i="13"/>
  <c r="AF10" i="13"/>
  <c r="AD46" i="13"/>
  <c r="X46" i="13"/>
  <c r="Y46" i="13"/>
  <c r="AF46" i="13"/>
  <c r="AF44" i="13"/>
  <c r="Y44" i="13"/>
  <c r="AD44" i="13"/>
  <c r="X44" i="13"/>
  <c r="AD32" i="13"/>
  <c r="X32" i="13"/>
  <c r="AF32" i="13"/>
  <c r="Y32" i="13"/>
  <c r="X30" i="13"/>
  <c r="AF30" i="13"/>
  <c r="Y30" i="13"/>
  <c r="AD30" i="13"/>
  <c r="Y11" i="13"/>
  <c r="AD11" i="13"/>
  <c r="X11" i="13"/>
  <c r="AF11" i="13"/>
  <c r="AF24" i="13"/>
  <c r="AD24" i="13"/>
  <c r="X24" i="13"/>
  <c r="Y24" i="13"/>
  <c r="Y27" i="13"/>
  <c r="AF27" i="13"/>
  <c r="X27" i="13"/>
  <c r="AD27" i="13"/>
  <c r="AD18" i="13"/>
  <c r="Y18" i="13"/>
  <c r="X18" i="13"/>
  <c r="AF18" i="13"/>
  <c r="AD54" i="13"/>
  <c r="X54" i="13"/>
  <c r="Y54" i="13"/>
  <c r="AF54" i="13"/>
  <c r="AF51" i="13"/>
  <c r="X51" i="13"/>
  <c r="Y51" i="13"/>
  <c r="AD51" i="13"/>
  <c r="AF43" i="13"/>
  <c r="AD43" i="13"/>
  <c r="X43" i="13"/>
  <c r="Y43" i="13"/>
  <c r="X9" i="13"/>
  <c r="AF9" i="13"/>
  <c r="AD9" i="13"/>
  <c r="Y9" i="13"/>
  <c r="AF7" i="13"/>
  <c r="X7" i="13"/>
  <c r="Y7" i="13"/>
  <c r="AD7" i="13"/>
  <c r="AF15" i="13"/>
  <c r="X15" i="13"/>
  <c r="Y15" i="13"/>
  <c r="AD15" i="13"/>
  <c r="X17" i="13"/>
  <c r="AF17" i="13"/>
  <c r="Y17" i="13"/>
  <c r="AD17" i="13"/>
  <c r="Y48" i="13"/>
  <c r="AD48" i="13"/>
  <c r="X48" i="13"/>
  <c r="AF48" i="13"/>
  <c r="AD45" i="13"/>
  <c r="AF45" i="13"/>
  <c r="X45" i="13"/>
  <c r="Y45" i="13"/>
  <c r="X50" i="13"/>
  <c r="Y50" i="13"/>
  <c r="AF50" i="13"/>
  <c r="AD50" i="13"/>
  <c r="AD33" i="13"/>
  <c r="Y33" i="13"/>
  <c r="X33" i="13"/>
  <c r="AF33" i="13"/>
  <c r="X16" i="13"/>
  <c r="AF16" i="13"/>
  <c r="AD16" i="13"/>
  <c r="Y16" i="13"/>
  <c r="X28" i="13"/>
  <c r="Y28" i="13"/>
  <c r="AF28" i="13"/>
  <c r="AD28" i="13"/>
  <c r="AF12" i="13"/>
  <c r="AD12" i="13"/>
  <c r="Y12" i="13"/>
  <c r="X12" i="13"/>
  <c r="AD47" i="13"/>
  <c r="X47" i="13"/>
  <c r="Y47" i="13"/>
  <c r="AF47" i="13"/>
  <c r="AD42" i="13"/>
  <c r="Y42" i="13"/>
  <c r="X42" i="13"/>
  <c r="AF42" i="13"/>
  <c r="AD25" i="13"/>
  <c r="X25" i="13"/>
  <c r="AF25" i="13"/>
  <c r="Y25" i="13"/>
  <c r="AF29" i="13"/>
  <c r="AD29" i="13"/>
  <c r="Y29" i="13"/>
  <c r="X29" i="13"/>
  <c r="AD26" i="13"/>
  <c r="Y26" i="13"/>
  <c r="X26" i="13"/>
  <c r="AF26" i="13"/>
  <c r="AF52" i="13"/>
  <c r="Y52" i="13"/>
  <c r="AD52" i="13"/>
  <c r="X52" i="13"/>
  <c r="AF14" i="13"/>
  <c r="Y14" i="13"/>
  <c r="X14" i="13"/>
  <c r="AD14" i="13"/>
  <c r="AD34" i="13"/>
  <c r="Y34" i="13"/>
  <c r="X34" i="13"/>
  <c r="AF34" i="13"/>
  <c r="Y36" i="13"/>
  <c r="AF36" i="13"/>
  <c r="X36" i="13"/>
  <c r="AD36" i="13"/>
  <c r="Y53" i="13"/>
  <c r="AD53" i="13"/>
  <c r="AF53" i="13"/>
  <c r="X53" i="13"/>
  <c r="V36" i="13"/>
  <c r="W36" i="13"/>
  <c r="AA36" i="13"/>
  <c r="AC36" i="13"/>
  <c r="AE36" i="13"/>
  <c r="AE46" i="13"/>
  <c r="W46" i="13"/>
  <c r="AC46" i="13"/>
  <c r="V46" i="13"/>
  <c r="AA46" i="13"/>
  <c r="AE45" i="13"/>
  <c r="AC45" i="13"/>
  <c r="V45" i="13"/>
  <c r="AA45" i="13"/>
  <c r="W45" i="13"/>
  <c r="W35" i="13"/>
  <c r="AA35" i="13"/>
  <c r="AE35" i="13"/>
  <c r="V35" i="13"/>
  <c r="AC35" i="13"/>
  <c r="W10" i="13"/>
  <c r="AA10" i="13"/>
  <c r="AE10" i="13"/>
  <c r="AC10" i="13"/>
  <c r="V10" i="13"/>
  <c r="U45" i="13"/>
  <c r="W11" i="13"/>
  <c r="AA11" i="13"/>
  <c r="AE11" i="13"/>
  <c r="V11" i="13"/>
  <c r="AC11" i="13"/>
  <c r="AC30" i="13"/>
  <c r="V30" i="13"/>
  <c r="AE30" i="13"/>
  <c r="AA30" i="13"/>
  <c r="W30" i="13"/>
  <c r="U43" i="13"/>
  <c r="W34" i="13"/>
  <c r="V34" i="13"/>
  <c r="AA34" i="13"/>
  <c r="AE34" i="13"/>
  <c r="AC34" i="13"/>
  <c r="W18" i="13"/>
  <c r="AA18" i="13"/>
  <c r="AE18" i="13"/>
  <c r="AC18" i="13"/>
  <c r="V18" i="13"/>
  <c r="AE54" i="13"/>
  <c r="W54" i="13"/>
  <c r="AC54" i="13"/>
  <c r="V54" i="13"/>
  <c r="AA54" i="13"/>
  <c r="AC44" i="13"/>
  <c r="V44" i="13"/>
  <c r="AE44" i="13"/>
  <c r="W44" i="13"/>
  <c r="AA44" i="13"/>
  <c r="AA32" i="13"/>
  <c r="W32" i="13"/>
  <c r="AE32" i="13"/>
  <c r="AC32" i="13"/>
  <c r="V32" i="13"/>
  <c r="AA15" i="13"/>
  <c r="AC15" i="13"/>
  <c r="V15" i="13"/>
  <c r="AE15" i="13"/>
  <c r="W15" i="13"/>
  <c r="V51" i="13"/>
  <c r="AC51" i="13"/>
  <c r="W51" i="13"/>
  <c r="AA51" i="13"/>
  <c r="AE51" i="13"/>
  <c r="U33" i="13"/>
  <c r="U31" i="13"/>
  <c r="AA42" i="13"/>
  <c r="AB42" i="13"/>
  <c r="AE42" i="13"/>
  <c r="AC42" i="13"/>
  <c r="W42" i="13"/>
  <c r="V42" i="13"/>
  <c r="AE16" i="13"/>
  <c r="W16" i="13"/>
  <c r="AA16" i="13"/>
  <c r="AC16" i="13"/>
  <c r="V16" i="13"/>
  <c r="AE7" i="13"/>
  <c r="AC7" i="13"/>
  <c r="V7" i="13"/>
  <c r="AA7" i="13"/>
  <c r="W7" i="13"/>
  <c r="AC50" i="13"/>
  <c r="W50" i="13"/>
  <c r="V50" i="13"/>
  <c r="AA50" i="13"/>
  <c r="AE50" i="13"/>
  <c r="W26" i="13"/>
  <c r="AA26" i="13"/>
  <c r="AE26" i="13"/>
  <c r="V26" i="13"/>
  <c r="AC26" i="13"/>
  <c r="AC52" i="13"/>
  <c r="V52" i="13"/>
  <c r="AE52" i="13"/>
  <c r="W52" i="13"/>
  <c r="AA52" i="13"/>
  <c r="AC29" i="13"/>
  <c r="V29" i="13"/>
  <c r="W29" i="13"/>
  <c r="AA29" i="13"/>
  <c r="AE29" i="13"/>
  <c r="V28" i="13"/>
  <c r="W28" i="13"/>
  <c r="AC28" i="13"/>
  <c r="AA28" i="13"/>
  <c r="AE28" i="13"/>
  <c r="U29" i="13"/>
  <c r="AC14" i="13"/>
  <c r="V14" i="13"/>
  <c r="AE14" i="13"/>
  <c r="W14" i="13"/>
  <c r="AA14" i="13"/>
  <c r="AA9" i="13"/>
  <c r="W9" i="13"/>
  <c r="AE9" i="13"/>
  <c r="AC9" i="13"/>
  <c r="V9" i="13"/>
  <c r="V43" i="13"/>
  <c r="AC43" i="13"/>
  <c r="W43" i="13"/>
  <c r="AA43" i="13"/>
  <c r="AE43" i="13"/>
  <c r="AA33" i="13"/>
  <c r="AC27" i="13"/>
  <c r="W27" i="13"/>
  <c r="AA27" i="13"/>
  <c r="V27" i="13"/>
  <c r="AE27" i="13"/>
  <c r="U50" i="13"/>
  <c r="AA47" i="13"/>
  <c r="AE47" i="13"/>
  <c r="AC47" i="13"/>
  <c r="V47" i="13"/>
  <c r="W47" i="13"/>
  <c r="W48" i="13"/>
  <c r="AA48" i="13"/>
  <c r="AE48" i="13"/>
  <c r="AC48" i="13"/>
  <c r="V48" i="13"/>
  <c r="W25" i="13"/>
  <c r="AA25" i="13"/>
  <c r="AE25" i="13"/>
  <c r="AC25" i="13"/>
  <c r="V25" i="13"/>
  <c r="AC24" i="13"/>
  <c r="V24" i="13"/>
  <c r="AE24" i="13"/>
  <c r="W24" i="13"/>
  <c r="AA24" i="13"/>
  <c r="AC12" i="13"/>
  <c r="W12" i="13"/>
  <c r="AA12" i="13"/>
  <c r="V12" i="13"/>
  <c r="AE12" i="13"/>
  <c r="AA17" i="13"/>
  <c r="AE17" i="13"/>
  <c r="W17" i="13"/>
  <c r="AC17" i="13"/>
  <c r="V17" i="13"/>
  <c r="AA53" i="13"/>
  <c r="AC53" i="13"/>
  <c r="V53" i="13"/>
  <c r="AE53" i="13"/>
  <c r="W53" i="13"/>
  <c r="U6" i="13"/>
  <c r="U52" i="13"/>
  <c r="U49" i="13"/>
  <c r="U36" i="13"/>
  <c r="U32" i="13"/>
  <c r="U53" i="13"/>
  <c r="U54" i="13"/>
  <c r="U51" i="13"/>
  <c r="U9" i="13"/>
  <c r="AM9" i="13"/>
  <c r="AM18" i="13"/>
  <c r="U18" i="13"/>
  <c r="U47" i="13"/>
  <c r="U42" i="13"/>
  <c r="U25" i="13"/>
  <c r="AM6" i="13"/>
  <c r="U14" i="13"/>
  <c r="AM14" i="13"/>
  <c r="AM12" i="13"/>
  <c r="U12" i="13"/>
  <c r="U34" i="13"/>
  <c r="U28" i="13"/>
  <c r="AM8" i="13"/>
  <c r="U8" i="13"/>
  <c r="U26" i="13"/>
  <c r="AM16" i="13"/>
  <c r="U16" i="13"/>
  <c r="U46" i="13"/>
  <c r="U44" i="13"/>
  <c r="AM7" i="13"/>
  <c r="U7" i="13"/>
  <c r="U35" i="13"/>
  <c r="U27" i="13"/>
  <c r="AM17" i="13"/>
  <c r="U17" i="13"/>
  <c r="U30" i="13"/>
  <c r="AM11" i="13"/>
  <c r="U11" i="13"/>
  <c r="U24" i="13"/>
  <c r="AM15" i="13"/>
  <c r="U15" i="13"/>
  <c r="U48" i="13"/>
  <c r="AM13" i="13"/>
  <c r="U13" i="13"/>
  <c r="AM10" i="13"/>
  <c r="U10" i="13"/>
  <c r="AB24" i="13"/>
  <c r="Z26" i="16"/>
  <c r="Z27" i="16"/>
  <c r="Z28" i="16"/>
  <c r="Z29" i="16"/>
  <c r="AU16" i="19"/>
  <c r="Z11" i="19"/>
  <c r="Z12" i="19"/>
  <c r="Z13" i="19"/>
  <c r="Z14" i="19"/>
  <c r="Z15" i="19"/>
  <c r="Z16" i="19"/>
  <c r="Z17" i="19"/>
  <c r="AU8" i="19"/>
  <c r="Z18" i="19"/>
  <c r="AU6" i="19"/>
  <c r="Z27" i="19"/>
  <c r="Z28" i="19"/>
  <c r="Z29" i="19"/>
  <c r="Z30" i="19"/>
  <c r="Z31" i="19"/>
  <c r="Z32" i="19"/>
  <c r="Z33" i="19"/>
  <c r="Z34" i="19"/>
  <c r="Z35" i="19"/>
  <c r="Z36" i="19"/>
  <c r="AG9" i="19"/>
  <c r="Z47" i="19"/>
  <c r="Z48" i="19"/>
  <c r="Z49" i="19"/>
  <c r="Z50" i="19"/>
  <c r="Z51" i="19"/>
  <c r="Z52" i="19"/>
  <c r="Z53" i="19"/>
  <c r="Z54" i="19"/>
  <c r="AU18" i="19"/>
  <c r="Z30" i="16"/>
  <c r="Z31" i="16"/>
  <c r="Z32" i="16"/>
  <c r="Z33" i="16"/>
  <c r="Z34" i="16"/>
  <c r="Z35" i="16"/>
  <c r="Z36" i="16"/>
  <c r="AW12" i="16"/>
  <c r="AW10" i="16"/>
  <c r="AW6" i="16"/>
  <c r="AX14" i="16"/>
  <c r="AX6" i="16"/>
  <c r="AX15" i="16"/>
  <c r="AX7" i="16"/>
  <c r="AX10" i="16"/>
  <c r="AX13" i="16"/>
  <c r="AX9" i="16"/>
  <c r="AX17" i="16"/>
  <c r="AX18" i="16"/>
  <c r="AX11" i="16"/>
  <c r="Z8" i="16"/>
  <c r="Z9" i="16"/>
  <c r="Z10" i="16"/>
  <c r="Z11" i="16"/>
  <c r="Z12" i="16"/>
  <c r="Z13" i="16"/>
  <c r="Z14" i="16"/>
  <c r="Z15" i="16"/>
  <c r="Z16" i="16"/>
  <c r="Z17" i="16"/>
  <c r="X18" i="16"/>
  <c r="AX12" i="16"/>
  <c r="Y48" i="16"/>
  <c r="AX8" i="16"/>
  <c r="Y44" i="16"/>
  <c r="Z44" i="16"/>
  <c r="X53" i="16"/>
  <c r="AX16" i="16"/>
  <c r="X45" i="16"/>
  <c r="X52" i="16"/>
  <c r="AG9" i="16"/>
  <c r="BA9" i="16"/>
  <c r="AR9" i="13"/>
  <c r="Z47" i="13"/>
  <c r="Z45" i="13"/>
  <c r="Z54" i="13"/>
  <c r="Z50" i="13"/>
  <c r="Z43" i="13"/>
  <c r="Z44" i="13"/>
  <c r="Z52" i="13"/>
  <c r="Z46" i="13"/>
  <c r="Z51" i="13"/>
  <c r="Z48" i="13"/>
  <c r="Z53" i="13"/>
  <c r="Z15" i="13"/>
  <c r="AG54" i="13"/>
  <c r="Z29" i="13"/>
  <c r="AR13" i="13"/>
  <c r="AG17" i="13"/>
  <c r="AG11" i="13"/>
  <c r="AG15" i="13"/>
  <c r="Z33" i="13"/>
  <c r="AG33" i="13"/>
  <c r="AB43" i="13"/>
  <c r="AB44" i="13"/>
  <c r="AB45" i="13"/>
  <c r="AB46" i="13"/>
  <c r="AB47" i="13"/>
  <c r="AB48" i="13"/>
  <c r="AG53" i="13"/>
  <c r="Z10" i="13"/>
  <c r="AG26" i="13"/>
  <c r="AG28" i="13"/>
  <c r="Z11" i="13"/>
  <c r="AG44" i="13"/>
  <c r="AR14" i="13"/>
  <c r="AG7" i="13"/>
  <c r="AR8" i="13"/>
  <c r="AG12" i="13"/>
  <c r="AG14" i="13"/>
  <c r="AG32" i="13"/>
  <c r="Z17" i="13"/>
  <c r="AG48" i="13"/>
  <c r="Z9" i="13"/>
  <c r="AR12" i="13"/>
  <c r="AR17" i="13"/>
  <c r="Z27" i="13"/>
  <c r="AG10" i="13"/>
  <c r="AG52" i="13"/>
  <c r="AR16" i="13"/>
  <c r="AR15" i="13"/>
  <c r="AG42" i="13"/>
  <c r="Z32" i="13"/>
  <c r="AG43" i="13"/>
  <c r="Z7" i="13"/>
  <c r="AG36" i="13"/>
  <c r="Z24" i="13"/>
  <c r="AG51" i="13"/>
  <c r="AR7" i="13"/>
  <c r="Z28" i="13"/>
  <c r="AG27" i="13"/>
  <c r="AG34" i="13"/>
  <c r="AR6" i="13"/>
  <c r="Z12" i="13"/>
  <c r="AG29" i="13"/>
  <c r="Z36" i="13"/>
  <c r="AG46" i="13"/>
  <c r="AB25" i="13"/>
  <c r="AB26" i="13"/>
  <c r="AB27" i="13"/>
  <c r="AB28" i="13"/>
  <c r="AB29" i="13"/>
  <c r="AB30" i="13"/>
  <c r="AR11" i="13"/>
  <c r="Z25" i="13"/>
  <c r="Z34" i="13"/>
  <c r="Z35" i="13"/>
  <c r="AG35" i="13"/>
  <c r="AG16" i="13"/>
  <c r="AG30" i="13"/>
  <c r="AG45" i="13"/>
  <c r="AG24" i="13"/>
  <c r="AR18" i="13"/>
  <c r="AG9" i="13"/>
  <c r="Z42" i="13"/>
  <c r="AR10" i="13"/>
  <c r="Z14" i="13"/>
  <c r="Z16" i="13"/>
  <c r="Z26" i="13"/>
  <c r="AG50" i="13"/>
  <c r="AG18" i="13"/>
  <c r="AG47" i="13"/>
  <c r="Z18" i="13"/>
  <c r="AG25" i="13"/>
  <c r="Z30" i="13"/>
  <c r="AG10" i="19"/>
  <c r="Z18" i="16"/>
  <c r="Z45" i="16"/>
  <c r="Z46" i="16"/>
  <c r="Z47" i="16"/>
  <c r="Z48" i="16"/>
  <c r="Z49" i="16"/>
  <c r="Z50" i="16"/>
  <c r="Z51" i="16"/>
  <c r="Z52" i="16"/>
  <c r="Z53" i="16"/>
  <c r="Z54" i="16"/>
  <c r="AG10" i="16"/>
  <c r="BA10" i="16"/>
  <c r="AO17" i="13"/>
  <c r="AO13" i="13"/>
  <c r="AO7" i="13"/>
  <c r="AN11" i="13"/>
  <c r="AN10" i="13"/>
  <c r="AO18" i="13"/>
  <c r="AN9" i="13"/>
  <c r="AO14" i="13"/>
  <c r="AO16" i="13"/>
  <c r="AO6" i="13"/>
  <c r="AO12" i="13"/>
  <c r="AN15" i="13"/>
  <c r="AO9" i="13"/>
  <c r="AN18" i="13"/>
  <c r="AN14" i="13"/>
  <c r="AN8" i="13"/>
  <c r="AO11" i="13"/>
  <c r="AN16" i="13"/>
  <c r="AN12" i="13"/>
  <c r="AN7" i="13"/>
  <c r="AN17" i="13"/>
  <c r="AN13" i="13"/>
  <c r="AG11" i="19"/>
  <c r="AG11" i="16"/>
  <c r="BA11" i="16"/>
  <c r="AO10" i="13"/>
  <c r="AO8" i="13"/>
  <c r="AP17" i="13"/>
  <c r="AO15" i="13"/>
  <c r="AP10" i="13"/>
  <c r="AP11" i="13"/>
  <c r="AP13" i="13"/>
  <c r="AP15" i="13"/>
  <c r="AP7" i="13"/>
  <c r="AP6" i="13"/>
  <c r="AQ6" i="13"/>
  <c r="AP16" i="13"/>
  <c r="AP8" i="13"/>
  <c r="AP18" i="13"/>
  <c r="AP14" i="13"/>
  <c r="AP9" i="13"/>
  <c r="AP12" i="13"/>
  <c r="AG12" i="19"/>
  <c r="AG12" i="16"/>
  <c r="BA12" i="16"/>
  <c r="AQ7" i="13"/>
  <c r="AQ8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  <author>Danilo Dragoni</author>
    <author>Joseph Perreira</author>
  </authors>
  <commentList>
    <comment ref="B3" authorId="0" shapeId="0" xr:uid="{187F3799-2931-4E43-933B-3DFC82EDFAF1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Percentage used to determine credit requirements. Based on ZEV III</t>
        </r>
      </text>
    </comment>
    <comment ref="C3" authorId="0" shapeId="0" xr:uid="{A7417641-FFAF-4A67-8C87-214FDFF20D06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For LVM, this is the minimum percentage required to be satisfied by ZEV vehicles</t>
        </r>
      </text>
    </comment>
    <comment ref="D3" authorId="0" shapeId="0" xr:uid="{78B39429-4002-4ECD-B708-E36B7FA93C1E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For LVM, this is the maximum percentage of TZEV credits that can be used
Note 22%=16%+6%</t>
        </r>
      </text>
    </comment>
    <comment ref="H3" authorId="0" shapeId="0" xr:uid="{468D92C3-B75C-44BC-A74A-551FA8D3A48D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For now, we are using the fleet composite rates. A possible improvement, could to use bins of emissions</t>
        </r>
      </text>
    </comment>
    <comment ref="I3" authorId="1" shapeId="0" xr:uid="{3AC7AC21-6DF7-4823-BFB9-3239BA6A75DB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 ratio of ZEV/TZEV vehicles that charge with the southern NV grid</t>
        </r>
      </text>
    </comment>
    <comment ref="B6" authorId="0" shapeId="0" xr:uid="{24216AFC-04BA-4C18-9977-6EC5DB137860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2023 and 2024 are 0 because NV program will start in 2025</t>
        </r>
      </text>
    </comment>
    <comment ref="J6" authorId="2" shapeId="0" xr:uid="{B2AD7C31-8137-4197-BB92-2902B9618688}">
      <text>
        <r>
          <rPr>
            <b/>
            <sz val="9"/>
            <color indexed="81"/>
            <rFont val="Tahoma"/>
            <family val="2"/>
          </rPr>
          <t>Joseph Perreira:</t>
        </r>
        <r>
          <rPr>
            <sz val="9"/>
            <color indexed="81"/>
            <rFont val="Tahoma"/>
            <family val="2"/>
          </rPr>
          <t xml:space="preserve">
Updated by JP on 5/18
24 hour emission rate for SPPC</t>
        </r>
      </text>
    </comment>
    <comment ref="K6" authorId="2" shapeId="0" xr:uid="{BEFE73DF-E437-49EA-A9C2-268417AE3E36}">
      <text>
        <r>
          <rPr>
            <b/>
            <sz val="9"/>
            <color indexed="81"/>
            <rFont val="Tahoma"/>
            <family val="2"/>
          </rPr>
          <t>Joseph Perreira:</t>
        </r>
        <r>
          <rPr>
            <sz val="9"/>
            <color indexed="81"/>
            <rFont val="Tahoma"/>
            <family val="2"/>
          </rPr>
          <t xml:space="preserve">
Updated by JP on 5/18
24 hour emission rate for NPC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  <author>Danilo Dragoni</author>
  </authors>
  <commentList>
    <comment ref="C3" authorId="0" shapeId="0" xr:uid="{F0C03316-F52D-48BC-A991-BB35EA66963A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For LVM this column is set to be equal to the TZEV ceiling column in the Global Parameters</t>
        </r>
      </text>
    </comment>
    <comment ref="M3" authorId="0" shapeId="0" xr:uid="{397A662D-CB3E-422F-9A6C-65EBEE1354EC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These are the requirements without the impact of any credit balance</t>
        </r>
      </text>
    </comment>
    <comment ref="N3" authorId="1" shapeId="0" xr:uid="{2EC0911A-18D0-46EA-A8B4-0336719B2945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Average credits earned for each ZEV vehicle. Not capped yet</t>
        </r>
      </text>
    </comment>
    <comment ref="AB3" authorId="0" shapeId="0" xr:uid="{1FAD9AE7-B7D3-4856-B47E-D20512F101BD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AJ3" authorId="0" shapeId="0" xr:uid="{C6134109-8774-4236-970C-BFCBF63E67DC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AQ3" authorId="0" shapeId="0" xr:uid="{88233984-1E36-4457-A0C6-41F787899B50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AS3" authorId="0" shapeId="0" xr:uid="{CD3ACF72-0C6C-4F5D-9FD0-8A10FBDB8665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C21" authorId="0" shapeId="0" xr:uid="{6CBD72DC-2EE6-4018-B76D-48B84E6DE2A9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Derived from Oregon dashboard data.  DMV EDRS data.
</t>
        </r>
      </text>
    </comment>
    <comment ref="N21" authorId="1" shapeId="0" xr:uid="{D112FB08-9D04-440C-B306-0803A9AB88D4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Average credits earned for each ZEV vehicle. Not capped yet</t>
        </r>
      </text>
    </comment>
    <comment ref="C39" authorId="0" shapeId="0" xr:uid="{BD303F7E-DB75-4D6B-97C2-0918394F0FE7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Derived from Oregon dashboard data.  DMV EDRS data.
</t>
        </r>
      </text>
    </comment>
    <comment ref="N39" authorId="1" shapeId="0" xr:uid="{DFEB72DD-7B28-4CAA-8A2D-E2D8EF671484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Average credits earned for each ZEV vehicle. Not capped yet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  <author>Danilo Dragoni</author>
    <author>Joseph Perreira</author>
  </authors>
  <commentList>
    <comment ref="C3" authorId="0" shapeId="0" xr:uid="{9157E1CE-A8E4-440B-A29F-B55C98CA8B39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For LVM this column is set to be equal to the TZEV ceiling column in the Global Parameters</t>
        </r>
      </text>
    </comment>
    <comment ref="K3" authorId="1" shapeId="0" xr:uid="{85E2FC44-33F2-42DF-80C1-5B1B92761D69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ZEV' in Results</t>
        </r>
      </text>
    </comment>
    <comment ref="L3" authorId="1" shapeId="0" xr:uid="{555B0AE4-06F9-4004-BF66-0DAD3D5AD933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TZEV' in Results</t>
        </r>
      </text>
    </comment>
    <comment ref="O3" authorId="0" shapeId="0" xr:uid="{5D36BE64-CE02-4747-969F-63D8707A880C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These are the requirements without the impact of any credit balance</t>
        </r>
      </text>
    </comment>
    <comment ref="P3" authorId="1" shapeId="0" xr:uid="{4953D5C8-2F7A-4C8E-BD60-1A34486D1D6C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Average credits earned for each ZEV vehicle. Not capped yet</t>
        </r>
      </text>
    </comment>
    <comment ref="Z3" authorId="0" shapeId="0" xr:uid="{4F15376C-F75F-4C3A-A927-8CB6ED47945C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the credits accumulated during a given year are available for use in the following year.
The shift in rows makes sure of that</t>
        </r>
      </text>
    </comment>
    <comment ref="AO3" authorId="0" shapeId="0" xr:uid="{370E50E5-24F0-44CA-BB02-A17176D39F85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AY3" authorId="0" shapeId="0" xr:uid="{691EC6C7-814C-4069-8106-A2ECD19D0F31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BA3" authorId="0" shapeId="0" xr:uid="{57130461-4B89-44C3-93E2-C9F71E8F0187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L6" authorId="2" shapeId="0" xr:uid="{D2940F4D-B32F-4B9D-B33C-7D3FF2FF9EDE}">
      <text>
        <r>
          <rPr>
            <b/>
            <sz val="9"/>
            <color indexed="81"/>
            <rFont val="Tahoma"/>
            <family val="2"/>
          </rPr>
          <t>Joseph Perreira:</t>
        </r>
        <r>
          <rPr>
            <sz val="9"/>
            <color indexed="81"/>
            <rFont val="Tahoma"/>
            <family val="2"/>
          </rPr>
          <t xml:space="preserve">
Assumed the same # of TZEV vehicle sales as the minimum compliance scenario</t>
        </r>
      </text>
    </comment>
    <comment ref="C21" authorId="0" shapeId="0" xr:uid="{73ACEB49-64BF-41D8-BF03-021EBF391D59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Derived from Oregon dashboard data.  DMV EDRS data.
</t>
        </r>
      </text>
    </comment>
    <comment ref="K21" authorId="1" shapeId="0" xr:uid="{8688A393-A846-4D0E-855C-BB88CC0C79D7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ZEV' in Results</t>
        </r>
      </text>
    </comment>
    <comment ref="L21" authorId="1" shapeId="0" xr:uid="{DA1640A4-B69A-4801-BA46-D1124F330BEE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TZEV' in Results</t>
        </r>
      </text>
    </comment>
    <comment ref="P21" authorId="1" shapeId="0" xr:uid="{CB8F9476-55B4-4BBB-8379-B826F2788673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Average credits earned for each ZEV vehicle. Not capped yet</t>
        </r>
      </text>
    </comment>
    <comment ref="AO21" authorId="0" shapeId="0" xr:uid="{313CBD5C-20F0-4E52-BFF3-DF631AEC3AC7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L24" authorId="2" shapeId="0" xr:uid="{1FC5C8BC-2D64-436D-8301-185EF2E4347E}">
      <text>
        <r>
          <rPr>
            <b/>
            <sz val="9"/>
            <color indexed="81"/>
            <rFont val="Tahoma"/>
            <family val="2"/>
          </rPr>
          <t>Joseph Perreira:</t>
        </r>
        <r>
          <rPr>
            <sz val="9"/>
            <color indexed="81"/>
            <rFont val="Tahoma"/>
            <family val="2"/>
          </rPr>
          <t xml:space="preserve">
Assumed the same # of TZEV vehicle sales as the minimum compliance scenario</t>
        </r>
      </text>
    </comment>
    <comment ref="C39" authorId="0" shapeId="0" xr:uid="{E4BD74A7-164F-41C5-93F4-18DEE6E67D2C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Derived from Oregon dashboard data.  DMV EDRS data.
</t>
        </r>
      </text>
    </comment>
    <comment ref="K39" authorId="1" shapeId="0" xr:uid="{47A54664-890E-49A8-A9B2-697E5CEEBE0A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ZEV' in Results</t>
        </r>
      </text>
    </comment>
    <comment ref="L39" authorId="1" shapeId="0" xr:uid="{C7614325-C804-4F48-A025-BB7ACA676126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TZEV' in Results</t>
        </r>
      </text>
    </comment>
    <comment ref="P39" authorId="1" shapeId="0" xr:uid="{A87AB30B-A0FC-4E46-9F8C-0AE0C43CFB92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Average credits earned for each ZEV vehicle. Not capped yet</t>
        </r>
      </text>
    </comment>
    <comment ref="AO39" authorId="0" shapeId="0" xr:uid="{CBC3F3EC-BC48-4CF0-AF45-822635CA71F4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  <author>Danilo Dragoni</author>
    <author>Joseph Perreira</author>
  </authors>
  <commentList>
    <comment ref="C3" authorId="0" shapeId="0" xr:uid="{817404A5-F07F-41E4-9AD2-A95795B3ABF2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For LVM this column is set to be equal to the TZEV ceiling column in the Global Parameters</t>
        </r>
      </text>
    </comment>
    <comment ref="K3" authorId="1" shapeId="0" xr:uid="{6594222A-3B59-45E6-B4BC-8662F4F82704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ZEV' in Results</t>
        </r>
      </text>
    </comment>
    <comment ref="L3" authorId="1" shapeId="0" xr:uid="{0D7CBD43-7FAA-4F3A-B422-F64796B5BA5C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TZEV' in Results</t>
        </r>
      </text>
    </comment>
    <comment ref="O3" authorId="0" shapeId="0" xr:uid="{09831F22-3BDB-435E-A5EB-846D254C7903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These are the requirements without the impact of any credit balance</t>
        </r>
      </text>
    </comment>
    <comment ref="P3" authorId="1" shapeId="0" xr:uid="{9DDBC6EF-EA1B-4172-8968-9D0DE6B35F6A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Average credits earned for each ZEV vehicle. Not capped yet</t>
        </r>
      </text>
    </comment>
    <comment ref="Z3" authorId="0" shapeId="0" xr:uid="{56D8D9EF-E9C3-4D8C-A0CD-599A283CD90A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the credits accumulated during a given year are available for use in the following year.
The shift in rows makes sure of that</t>
        </r>
      </text>
    </comment>
    <comment ref="AO3" authorId="0" shapeId="0" xr:uid="{B8FF3912-1DCD-4497-A7CD-A1A61FF7F43C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AV3" authorId="0" shapeId="0" xr:uid="{494C2945-7F8F-43C5-89C0-8174B5A98788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AX3" authorId="0" shapeId="0" xr:uid="{D6DF6232-4E8C-4120-B73C-92F0050BDE9F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L6" authorId="2" shapeId="0" xr:uid="{2093DDD3-4E6F-4058-8103-2CD343E24E8D}">
      <text>
        <r>
          <rPr>
            <b/>
            <sz val="9"/>
            <color indexed="81"/>
            <rFont val="Tahoma"/>
            <family val="2"/>
          </rPr>
          <t>Joseph Perreira:</t>
        </r>
        <r>
          <rPr>
            <sz val="9"/>
            <color indexed="81"/>
            <rFont val="Tahoma"/>
            <family val="2"/>
          </rPr>
          <t xml:space="preserve">
90:10 Pro-rated trend of historical TZEV sales as reported by the Auto Alliance:
https://www.autosinnovate.org/resources/electric-vehicle-sales-dashboard</t>
        </r>
      </text>
    </comment>
    <comment ref="C21" authorId="0" shapeId="0" xr:uid="{329716E3-6D18-4CE7-BFA1-73FEC07D739A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Derived from Oregon dashboard data.  DMV EDRS data.
</t>
        </r>
      </text>
    </comment>
    <comment ref="K21" authorId="1" shapeId="0" xr:uid="{7BE48B8C-14C6-4355-8880-E66569053DC0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ZEV' in Results</t>
        </r>
      </text>
    </comment>
    <comment ref="L21" authorId="1" shapeId="0" xr:uid="{7DDF2B37-DC71-4FD1-9B7B-9F7B948FB107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TZEV' in Results</t>
        </r>
      </text>
    </comment>
    <comment ref="P21" authorId="1" shapeId="0" xr:uid="{61F588CC-3AFA-460F-831A-1F5B951BC57B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Average credits earned for each ZEV vehicle. Not capped yet</t>
        </r>
      </text>
    </comment>
    <comment ref="AO21" authorId="0" shapeId="0" xr:uid="{D9F1AE35-91C5-4366-B02D-BEFECC75ED65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L24" authorId="2" shapeId="0" xr:uid="{63AE6EF6-8E86-4812-9CCF-0E762278F831}">
      <text>
        <r>
          <rPr>
            <b/>
            <sz val="9"/>
            <color indexed="81"/>
            <rFont val="Tahoma"/>
            <family val="2"/>
          </rPr>
          <t>Joseph Perreira:</t>
        </r>
        <r>
          <rPr>
            <sz val="9"/>
            <color indexed="81"/>
            <rFont val="Tahoma"/>
            <family val="2"/>
          </rPr>
          <t xml:space="preserve">
90:10 Pro-rated trend of historical TZEV sales as reported by the Auto Alliance:
https://www.autosinnovate.org/resources/electric-vehicle-sales-dashboard</t>
        </r>
      </text>
    </comment>
    <comment ref="C39" authorId="0" shapeId="0" xr:uid="{C1107674-968D-4637-A3F9-27AA587378B3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Derived from Oregon dashboard data.  DMV EDRS data.
</t>
        </r>
      </text>
    </comment>
    <comment ref="K39" authorId="1" shapeId="0" xr:uid="{F77DC86A-19C8-40DB-9664-B54AB2E639D6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ZEV' in Results</t>
        </r>
      </text>
    </comment>
    <comment ref="L39" authorId="1" shapeId="0" xr:uid="{B71E7A01-F9AE-44BB-8EDF-0805E4C20DA1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These are actual sales. If running a minimum compliance case, this number should be the same as 'Vehicles Required for TZEV' in Results</t>
        </r>
      </text>
    </comment>
    <comment ref="P39" authorId="1" shapeId="0" xr:uid="{A88D47A5-2020-4ED7-B89D-A91AB99C6265}">
      <text>
        <r>
          <rPr>
            <b/>
            <sz val="9"/>
            <color indexed="81"/>
            <rFont val="Tahoma"/>
            <family val="2"/>
          </rPr>
          <t>Danilo Dragoni:</t>
        </r>
        <r>
          <rPr>
            <sz val="9"/>
            <color indexed="81"/>
            <rFont val="Tahoma"/>
            <family val="2"/>
          </rPr>
          <t xml:space="preserve">
Average credits earned for each ZEV vehicle. Not capped yet</t>
        </r>
      </text>
    </comment>
    <comment ref="AO39" authorId="0" shapeId="0" xr:uid="{FA0E4FDF-D39F-4FDA-A62A-4AC8833C8F4E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</author>
  </authors>
  <commentList>
    <comment ref="B2" authorId="0" shapeId="0" xr:uid="{586BF6C0-FC14-42E9-85A8-9C8DEE8D0AEB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C2" authorId="0" shapeId="0" xr:uid="{ED6AE2D6-5F6B-4789-865C-6CA3742A58CE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D2" authorId="0" shapeId="0" xr:uid="{86A0B10D-F8E5-4456-8034-35D93568666C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  <comment ref="E2" authorId="0" shapeId="0" xr:uid="{DE1040C5-530B-4224-AD1D-29FC5AAE6C3A}">
      <text>
        <r>
          <rPr>
            <b/>
            <sz val="9"/>
            <color indexed="81"/>
            <rFont val="Tahoma"/>
            <family val="2"/>
          </rPr>
          <t>Microsoft:</t>
        </r>
        <r>
          <rPr>
            <sz val="9"/>
            <color indexed="81"/>
            <rFont val="Tahoma"/>
            <family val="2"/>
          </rPr>
          <t xml:space="preserve">
This takes into account that the electric vehicles bought in the previous year will still avoid emissions. This is NOT a cumulative</t>
        </r>
      </text>
    </comment>
  </commentList>
</comments>
</file>

<file path=xl/sharedStrings.xml><?xml version="1.0" encoding="utf-8"?>
<sst xmlns="http://schemas.openxmlformats.org/spreadsheetml/2006/main" count="1261" uniqueCount="239">
  <si>
    <t>General</t>
  </si>
  <si>
    <t>The NV ZEV Calculator is used to estimate the emission benefits of adopting the ZEV Program under different compliance scenarios</t>
  </si>
  <si>
    <t>Business As Usual (BAU) : Baseline - ZEV Program is not adopted and for the most part, manufacturers don't change business in Nevada (unless announcements of 100% electrification commitment)</t>
  </si>
  <si>
    <t>Minimum Compliance: Manufacturers follow a policy of minimum compliance with the requirement. No banked credits are used to comply</t>
  </si>
  <si>
    <t>How to</t>
  </si>
  <si>
    <t xml:space="preserve">Like for any Excel spreadsheet, the change of a value in a cell likely causes a ripple effect in other cells. </t>
  </si>
  <si>
    <t>Constants Sheet</t>
  </si>
  <si>
    <t>Variables here affect all the scenarios,. i.e., a change in parameters here will very likely  impact the results for all the scenarios</t>
  </si>
  <si>
    <t>Minimum Compliance - Input Parameters</t>
  </si>
  <si>
    <t xml:space="preserve">Variables in this block of cells will impact the results for the Minimum Compliance Scenario Only. Note that there are 3 blocks of Input Parameters, for LVM, IVM and Tesla. </t>
  </si>
  <si>
    <t>Anticipated Compliance - Input Parameters</t>
  </si>
  <si>
    <t>Same as above, but for Anticipated Compliance scenario. Note that some of the parameters and results are different from the Minimum Compliance Scenarios</t>
  </si>
  <si>
    <t>BAU</t>
  </si>
  <si>
    <t>Same as above, but for Business As Usual scenario</t>
  </si>
  <si>
    <t>Constants</t>
  </si>
  <si>
    <t>This Sheet contains variables that are shared across scenarios</t>
  </si>
  <si>
    <t>ZEVreq</t>
  </si>
  <si>
    <t>ZEV Compliance requirements as per ACCI, in percentage. MY2025 is used for MY2025-2035</t>
  </si>
  <si>
    <t>TZEVceil</t>
  </si>
  <si>
    <t>TZEV ceiling expressed as percentage of total ZEV Compliance requirement</t>
  </si>
  <si>
    <t>PCemisCO2</t>
  </si>
  <si>
    <t>CO2 emission rates for ICE Passenger Cars, expressed in gCO2/mile</t>
  </si>
  <si>
    <t>LTDemisCO2</t>
  </si>
  <si>
    <t>CO2 emission rates for ICE Light Duty Vehicles, expressed in gCO2/mile</t>
  </si>
  <si>
    <t>emisNOX</t>
  </si>
  <si>
    <t>ZEVratioSouth</t>
  </si>
  <si>
    <t>Percentage of ZEV (BEV+PHEV) that are charged in the southern NV utility grid. This is used to estimate upstream emissions b/c of charging ZEV</t>
  </si>
  <si>
    <t>emisNorthCO2</t>
  </si>
  <si>
    <t>Average CO2 emission rates from the norther NV utility grid. lbCO2/MWh</t>
  </si>
  <si>
    <t>emisSouthCO2</t>
  </si>
  <si>
    <t>Average CO2 emission rates from the southern NV utility grid. lbCO2/MWh</t>
  </si>
  <si>
    <t>PCeff</t>
  </si>
  <si>
    <t>ZEV and TZEV average efficiency for passenger cars. Mile/kWh</t>
  </si>
  <si>
    <t>LDTeff</t>
  </si>
  <si>
    <t>ZEV and TZEV average efficiency for LDT. Mile/kWh</t>
  </si>
  <si>
    <t>LVMsales</t>
  </si>
  <si>
    <t xml:space="preserve">Sales of LDV from Large Volume Manufacturers. Used for Anticipated Compliance, BAU </t>
  </si>
  <si>
    <t>IVMsales</t>
  </si>
  <si>
    <t>Teslasales</t>
  </si>
  <si>
    <t>Sales of LDV by Tesla. Tesla is considered separately, given their unique business (fully BEV) and trends in NV</t>
  </si>
  <si>
    <t>VMT</t>
  </si>
  <si>
    <t>Average annual vehicle miles travelled for ICE LDV. Used for the calculation of emission avoidance. Miles per vehicle per year</t>
  </si>
  <si>
    <t>elecTZEVvmt</t>
  </si>
  <si>
    <t>Fraction of VMT that are actually driven under battery charge for TZEV</t>
  </si>
  <si>
    <t xml:space="preserve">Input Parameters for Minimum Compliance, Anticipated Compliance, BAU </t>
  </si>
  <si>
    <t>TravCred</t>
  </si>
  <si>
    <t xml:space="preserve">Credits from sale of FCEV in other 177 states. </t>
  </si>
  <si>
    <t>TZEVCeilAct</t>
  </si>
  <si>
    <t>Actual credit ceiling for TZEV. This is equal to the regulatory TZEV ceiling for LVM, but can be set to higher (or lower) percentages for IVM. Tesla, for instance, has 0% of actual TZEV ceiling (they sale just BEV). This percentage is used in the calculation of required vehicle sales in Minimum Compliance, and Credit banking for other scenarios</t>
  </si>
  <si>
    <t>pCZEVrng</t>
  </si>
  <si>
    <t>UDDS range for ZEV PC. Miles</t>
  </si>
  <si>
    <t>pcTZEVrng</t>
  </si>
  <si>
    <t>UDDS range for TZEV PC. Miles</t>
  </si>
  <si>
    <t>ldtZEVrng</t>
  </si>
  <si>
    <t>UDDS range for ZEV LDT. Miles</t>
  </si>
  <si>
    <t>ldtTZEVrng</t>
  </si>
  <si>
    <t>UDDS range for TZEV LDT. Miles</t>
  </si>
  <si>
    <t>US06TZEVfrac</t>
  </si>
  <si>
    <t>Fraction of TZEV vehicles that are also US06 capable</t>
  </si>
  <si>
    <t>ZEVpcFrac</t>
  </si>
  <si>
    <t>Percentage of ZEV that are PC</t>
  </si>
  <si>
    <t>TZEVpcFrac</t>
  </si>
  <si>
    <t>Percentage of TZEV thar are PC</t>
  </si>
  <si>
    <t>actZEVsold</t>
  </si>
  <si>
    <t>Actual sales for ZEV, for LVM, IVM and Tesla. Note, not available for Minimum Compliance</t>
  </si>
  <si>
    <t>actTZEVsold</t>
  </si>
  <si>
    <t>Actual sales for TZEV, for LVM, IVM and Tesla. Note, not available for Minimum Compliance</t>
  </si>
  <si>
    <t>Results</t>
  </si>
  <si>
    <t>ZEVCredReq</t>
  </si>
  <si>
    <t>ZEVcredUnc</t>
  </si>
  <si>
    <t>Credit earned by single ZEV vehicle. Uncapped</t>
  </si>
  <si>
    <t>TZEVcredUnc</t>
  </si>
  <si>
    <t>Credits earned by single TZEV vehicle. Uncapped</t>
  </si>
  <si>
    <t>TZEVcredUS06Unc</t>
  </si>
  <si>
    <t>Average credits earned by single TZEV vehicle adjusted by the sale of US06 capable</t>
  </si>
  <si>
    <t>ZEVCred</t>
  </si>
  <si>
    <t>Capped ZEV credit per vehicle</t>
  </si>
  <si>
    <t>TZEVCred</t>
  </si>
  <si>
    <t>Capped TZEV credit per vehicle</t>
  </si>
  <si>
    <t>TZEVveh</t>
  </si>
  <si>
    <t>TZEV vehicles required for minimum compliance</t>
  </si>
  <si>
    <t>ZEVveh</t>
  </si>
  <si>
    <t>ZEV vehicles required for minimum compliance</t>
  </si>
  <si>
    <t>percSale</t>
  </si>
  <si>
    <t>percentage of TZEV/ZEV over LDVsales</t>
  </si>
  <si>
    <t>CO2EmZEVPC</t>
  </si>
  <si>
    <t>avoided CO2 tailpipe emissions from ZEV PC. For all vehicles sold in the given MY</t>
  </si>
  <si>
    <t>CO2EmZEVLDT</t>
  </si>
  <si>
    <t>avoided CO2 tailpipe emissions from ZEV LDT</t>
  </si>
  <si>
    <t>CO2EmTZEVPC</t>
  </si>
  <si>
    <t>avoided CO2 tailpipe emissions from TZEV PC</t>
  </si>
  <si>
    <t>CO2EmTZEVLDT</t>
  </si>
  <si>
    <t>avoided CO2 tailpipe emissions from TZEV LDT</t>
  </si>
  <si>
    <t>CO2Em</t>
  </si>
  <si>
    <t>avoided CO2 tailpipe emissions from ZEV and TZEV</t>
  </si>
  <si>
    <t>avoided NMOG+NOx tailpipe emissions  from ZEV and TZEV. For all vehicles sold in the given MY</t>
  </si>
  <si>
    <t>compNOxEm</t>
  </si>
  <si>
    <t>avoided NMOG+NOx tailpipe emissions  from ZEV and TZEV. Cumulative impact from vehicles sold in previous MY</t>
  </si>
  <si>
    <t>UpEnPCzev</t>
  </si>
  <si>
    <t>energy used to recharge ZEV PC. kWh</t>
  </si>
  <si>
    <t>UpEnPCtzev</t>
  </si>
  <si>
    <t>energy used to recharge TZEV PC. kWh</t>
  </si>
  <si>
    <t>UpEnLDTzev</t>
  </si>
  <si>
    <t>energy used to recharge ZEV LDT. kWh</t>
  </si>
  <si>
    <t>UpEnLDTtzev</t>
  </si>
  <si>
    <t>energy used to recharge TZEV LDT. kWh</t>
  </si>
  <si>
    <t>UpEn</t>
  </si>
  <si>
    <t>total energy used to recharge ZEV and TZEV LDV. kWh</t>
  </si>
  <si>
    <t>UpCO2em</t>
  </si>
  <si>
    <t>upstream CO2 emissions due to charging EV. Differences in electricity generation portfolio between S and N Nevada are considered here. Mtons/year</t>
  </si>
  <si>
    <t>netCO2ben</t>
  </si>
  <si>
    <t>Net emission CO2 emission benefits. Tailpipe - Upstream. Mtons/year</t>
  </si>
  <si>
    <t>compCO2ben</t>
  </si>
  <si>
    <t>Net emission CO2 emission benefits. Tailpipe - Upstream. Mtons/year. Including the impact of ZEV sold in previous MY</t>
  </si>
  <si>
    <t>actZEVcred</t>
  </si>
  <si>
    <t>credits earned from actual sales of ZEV</t>
  </si>
  <si>
    <t>actTZEVcredUnc</t>
  </si>
  <si>
    <t>actTZEVcred</t>
  </si>
  <si>
    <t>credits earned from actual sales of TZEV. Capped</t>
  </si>
  <si>
    <t>TZEVcredBal</t>
  </si>
  <si>
    <t>ZEVcredBal</t>
  </si>
  <si>
    <t>cumCred</t>
  </si>
  <si>
    <t>Cumulative banked credits</t>
  </si>
  <si>
    <t>Constant Parameters</t>
  </si>
  <si>
    <t>This parameters are constant across compliance ranges and scenario.</t>
  </si>
  <si>
    <t>Model Year</t>
  </si>
  <si>
    <t>ZEV Compliance Requirements</t>
  </si>
  <si>
    <t>Minimum ZEV Floor (for LVM)</t>
  </si>
  <si>
    <t>TZEV Ceiling (for LVM)</t>
  </si>
  <si>
    <t>Relative TZEV Ceiling (for LVM)</t>
  </si>
  <si>
    <t>EPA/NHTSA emission rates for PC</t>
  </si>
  <si>
    <t>EPA/NHTSA emission rates for LDT</t>
  </si>
  <si>
    <t>LEVIII NMOG+NOx fleet composite emission rates</t>
  </si>
  <si>
    <t>ZEV Ratio Southern NV grid</t>
  </si>
  <si>
    <t>CO2 emissions rates North</t>
  </si>
  <si>
    <t>CO2 emissions rates South</t>
  </si>
  <si>
    <t>ZEV/TZEV PC efficiency</t>
  </si>
  <si>
    <t>ZEV/TZEV LDT efficiency</t>
  </si>
  <si>
    <t>LDV sales for LVM</t>
  </si>
  <si>
    <t>LDV sales for IVM</t>
  </si>
  <si>
    <t>LDV sales for Tesla</t>
  </si>
  <si>
    <t>VMT for ICEs replaced by ZEV and TZEV</t>
  </si>
  <si>
    <t>Fraction of TZEV VMT that are all electric</t>
  </si>
  <si>
    <t>MY</t>
  </si>
  <si>
    <t>LDTemisCO2</t>
  </si>
  <si>
    <t>emisSouthNorth</t>
  </si>
  <si>
    <t>gCO2/mile</t>
  </si>
  <si>
    <t>g(NMOG+NOx)/mile</t>
  </si>
  <si>
    <t>percentage</t>
  </si>
  <si>
    <t>lbCO2/MWh</t>
  </si>
  <si>
    <t>mile/kWh</t>
  </si>
  <si>
    <t>vehicles</t>
  </si>
  <si>
    <t>miles per vehicle</t>
  </si>
  <si>
    <t>Input Parameters</t>
  </si>
  <si>
    <t>LVM+IVM+Tesla</t>
  </si>
  <si>
    <t>Large Volume Manufacturer</t>
  </si>
  <si>
    <t>Minimum Compliance</t>
  </si>
  <si>
    <t>Traveling Credits from FCEV</t>
  </si>
  <si>
    <t xml:space="preserve">Actual TZEV Ceiling </t>
  </si>
  <si>
    <t xml:space="preserve">Average PC ZEV range </t>
  </si>
  <si>
    <t>Average PC TZEV range</t>
  </si>
  <si>
    <t xml:space="preserve">Average LDT ZEV range </t>
  </si>
  <si>
    <t>Average LDT TZEV range</t>
  </si>
  <si>
    <t>Fraction of TZEV vehicle that are US06 capable</t>
  </si>
  <si>
    <t>Fraction of ZEV that are PC</t>
  </si>
  <si>
    <t>Fraction of TZEV that are PC</t>
  </si>
  <si>
    <t>Required ZEV Program Credits</t>
  </si>
  <si>
    <t>Average ZEV Credits (uncapped)</t>
  </si>
  <si>
    <t>Average TZEV Credits (uncapped)</t>
  </si>
  <si>
    <t>Average TZEV credits (uncapped) + US06</t>
  </si>
  <si>
    <t>Average ZEV Credits (capped)</t>
  </si>
  <si>
    <t>Average TZEV Credits (capped)</t>
  </si>
  <si>
    <t>Vehicles required for TZEV</t>
  </si>
  <si>
    <t>Vehicles required for ZEV</t>
  </si>
  <si>
    <t>Percentage (ZEV+TZEV) over sales</t>
  </si>
  <si>
    <t>Avoided CO2 Emissions by ZEV PC</t>
  </si>
  <si>
    <t>Avoided CO2 Emissions by ZEV LDT</t>
  </si>
  <si>
    <t>Avoided CO2 Emissions by TZEV PC</t>
  </si>
  <si>
    <t>Avoided CO2 Emissions by TZEV LDT</t>
  </si>
  <si>
    <t>Avoided CO2 Emissions</t>
  </si>
  <si>
    <t>Avoided NMOG+NOx emission by ZEV and TZEV</t>
  </si>
  <si>
    <t>Upstream energy for PC ZEV</t>
  </si>
  <si>
    <t>Upstream energy for LDT ZEV</t>
  </si>
  <si>
    <t>Upstream energy</t>
  </si>
  <si>
    <t>Upstream CO2 emissions</t>
  </si>
  <si>
    <t>Net CO2 emission benefits</t>
  </si>
  <si>
    <t>Composite Net CO2 emission benefits</t>
  </si>
  <si>
    <t>ZEV+TEV percentage</t>
  </si>
  <si>
    <t>pcZEVrng</t>
  </si>
  <si>
    <t>ZEVcredReq</t>
  </si>
  <si>
    <t>ZEVcred</t>
  </si>
  <si>
    <t>TZEVcred</t>
  </si>
  <si>
    <t>NOxEm</t>
  </si>
  <si>
    <t>credits</t>
  </si>
  <si>
    <t>UDDS miles per vehicle</t>
  </si>
  <si>
    <t>UDDS mile per vehicle</t>
  </si>
  <si>
    <t>UDDs miles per vehicle</t>
  </si>
  <si>
    <t>UDDs mile per vehicle</t>
  </si>
  <si>
    <t>per vehicle</t>
  </si>
  <si>
    <t>TZEV vehicles</t>
  </si>
  <si>
    <t>ZEV vehicles</t>
  </si>
  <si>
    <t>MTCO2/year</t>
  </si>
  <si>
    <t>MT/year</t>
  </si>
  <si>
    <t>kWh</t>
  </si>
  <si>
    <t>MWh</t>
  </si>
  <si>
    <t>Mtons</t>
  </si>
  <si>
    <t>Mtons/year</t>
  </si>
  <si>
    <t>short T/year</t>
  </si>
  <si>
    <t>Intermediate Volume Manufacturer</t>
  </si>
  <si>
    <t>TESLA</t>
  </si>
  <si>
    <t>Number of ZEV vehicle sold for expected compliance</t>
  </si>
  <si>
    <t>Number of TZEV vehicle sold for expected compliance</t>
  </si>
  <si>
    <t xml:space="preserve">Credits from actual sales of ZEV </t>
  </si>
  <si>
    <t>Credits from actual sales of TZEV (uncapped)</t>
  </si>
  <si>
    <t>Usable Credits from actual sales of TZEV (capped)</t>
  </si>
  <si>
    <t>TZEV Credit Balance</t>
  </si>
  <si>
    <t>ZEV Credit balance</t>
  </si>
  <si>
    <t>Cumulative Credit Balance</t>
  </si>
  <si>
    <t>ZEV+TZEV percentage</t>
  </si>
  <si>
    <t>Credits Required</t>
  </si>
  <si>
    <t>total credits</t>
  </si>
  <si>
    <t>Credits banked</t>
  </si>
  <si>
    <t>ZevCredReq</t>
  </si>
  <si>
    <t>actual vehicles</t>
  </si>
  <si>
    <t>ZEV Credit Balance</t>
  </si>
  <si>
    <t>TZEV Credit balance</t>
  </si>
  <si>
    <t>Anticipated Compliance</t>
  </si>
  <si>
    <t>The NV ZEV calculator comes with a few scenarios, but it is possible to alter the parameters that are within a scenario. Here are a few guidelines</t>
  </si>
  <si>
    <t>NMOG+NOx emission rates for both ICE PC and LDT. g(NMOG+NOx)/mile</t>
  </si>
  <si>
    <t xml:space="preserve">Sales of LDV from Intermediate Volume Manufacturers. With the exclusion of Tesla. Used for Anticipated Compliance, BAU </t>
  </si>
  <si>
    <t>Credit obligation as calculated from credit requirements and LDV sales</t>
  </si>
  <si>
    <t>credits earned from actual sales of TZEV. Uncapped by TZEV ceiling</t>
  </si>
  <si>
    <t>Annual balance of TZEV credit, after TZEV obligations are met</t>
  </si>
  <si>
    <t>Annual balance of ZEV credit, after ZEV obligations are met</t>
  </si>
  <si>
    <t>Anticipated Compliance: Manufacturers continue to follow current trends of increasing ZEV sales, and announcements they make of electrification of future models and corporate fleet offerings are factored into the scenario . No banked credits are used to comply</t>
  </si>
  <si>
    <t>Composite avoided NMOG+NOx emissions</t>
  </si>
  <si>
    <t>Upstream energy for PC TZEV</t>
  </si>
  <si>
    <t>Upstream energy for LDT TZEV</t>
  </si>
  <si>
    <t xml:space="preserve">Minimum Compliance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</si>
</sst>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9">
    <xf numFmtId="0" fontId="0" fillId="0" borderId="0" xfId="0"/>
    <xf numFmtId="0" fontId="0" fillId="2" borderId="0" xfId="0" applyFill="1"/>
    <xf numFmtId="0" fontId="0" fillId="0" borderId="0" xfId="0" applyFill="1" applyBorder="1" applyAlignment="1">
      <alignment wrapText="1"/>
    </xf>
    <xf numFmtId="0" fontId="0" fillId="2" borderId="0" xfId="0" applyFill="1" applyBorder="1"/>
    <xf numFmtId="0" fontId="0" fillId="0" borderId="0" xfId="0" applyBorder="1"/>
    <xf numFmtId="0" fontId="0" fillId="0" borderId="0" xfId="0" applyFill="1" applyAlignment="1">
      <alignment wrapText="1"/>
    </xf>
    <xf numFmtId="0" fontId="2" fillId="0" borderId="0" xfId="0" applyFont="1" applyFill="1" applyAlignment="1">
      <alignment wrapText="1"/>
    </xf>
    <xf numFmtId="0" fontId="0" fillId="0" borderId="0" xfId="0" applyFill="1"/>
    <xf numFmtId="0" fontId="2" fillId="0" borderId="0" xfId="0" applyFont="1" applyFill="1"/>
    <xf numFmtId="0" fontId="0" fillId="0" borderId="0" xfId="0" applyFill="1" applyBorder="1"/>
    <xf numFmtId="0" fontId="2" fillId="0" borderId="0" xfId="0" applyFont="1" applyFill="1" applyBorder="1"/>
    <xf numFmtId="0" fontId="0" fillId="2" borderId="0" xfId="0" applyFill="1" applyAlignment="1">
      <alignment wrapText="1"/>
    </xf>
    <xf numFmtId="0" fontId="0" fillId="2" borderId="0" xfId="0" applyFill="1" applyBorder="1" applyAlignment="1">
      <alignment wrapText="1"/>
    </xf>
    <xf numFmtId="0" fontId="0" fillId="2" borderId="4" xfId="0" applyFill="1" applyBorder="1"/>
    <xf numFmtId="0" fontId="0" fillId="2" borderId="5" xfId="0" applyFill="1" applyBorder="1"/>
    <xf numFmtId="164" fontId="0" fillId="0" borderId="0" xfId="1" applyNumberFormat="1" applyFont="1" applyFill="1" applyBorder="1"/>
    <xf numFmtId="0" fontId="0" fillId="0" borderId="7" xfId="0" applyBorder="1"/>
    <xf numFmtId="0" fontId="2" fillId="0" borderId="0" xfId="0" applyFont="1" applyFill="1" applyBorder="1" applyAlignment="1">
      <alignment wrapText="1"/>
    </xf>
    <xf numFmtId="2" fontId="0" fillId="0" borderId="0" xfId="0" applyNumberFormat="1" applyFill="1" applyBorder="1"/>
    <xf numFmtId="0" fontId="0" fillId="2" borderId="4" xfId="0" applyFill="1" applyBorder="1" applyAlignment="1">
      <alignment wrapText="1"/>
    </xf>
    <xf numFmtId="0" fontId="2" fillId="0" borderId="4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3" fillId="0" borderId="0" xfId="0" applyFont="1" applyFill="1"/>
    <xf numFmtId="0" fontId="0" fillId="5" borderId="2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2" fillId="0" borderId="5" xfId="0" applyFont="1" applyFill="1" applyBorder="1"/>
    <xf numFmtId="1" fontId="0" fillId="0" borderId="0" xfId="0" applyNumberFormat="1" applyFill="1" applyBorder="1"/>
    <xf numFmtId="0" fontId="0" fillId="0" borderId="7" xfId="0" applyFill="1" applyBorder="1"/>
    <xf numFmtId="0" fontId="3" fillId="0" borderId="0" xfId="0" applyFont="1" applyFill="1" applyBorder="1"/>
    <xf numFmtId="0" fontId="0" fillId="4" borderId="1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3" borderId="0" xfId="0" applyFill="1" applyBorder="1"/>
    <xf numFmtId="2" fontId="0" fillId="0" borderId="4" xfId="0" applyNumberFormat="1" applyFill="1" applyBorder="1"/>
    <xf numFmtId="2" fontId="0" fillId="0" borderId="6" xfId="0" applyNumberFormat="1" applyFill="1" applyBorder="1"/>
    <xf numFmtId="0" fontId="0" fillId="3" borderId="7" xfId="0" applyFill="1" applyBorder="1"/>
    <xf numFmtId="0" fontId="6" fillId="0" borderId="0" xfId="0" applyFont="1" applyFill="1"/>
    <xf numFmtId="0" fontId="6" fillId="0" borderId="0" xfId="0" applyFont="1" applyFill="1" applyBorder="1"/>
    <xf numFmtId="0" fontId="0" fillId="6" borderId="1" xfId="0" applyFill="1" applyBorder="1" applyAlignment="1">
      <alignment wrapText="1"/>
    </xf>
    <xf numFmtId="0" fontId="0" fillId="6" borderId="2" xfId="0" applyFill="1" applyBorder="1" applyAlignment="1">
      <alignment wrapText="1"/>
    </xf>
    <xf numFmtId="165" fontId="0" fillId="0" borderId="0" xfId="1" applyNumberFormat="1" applyFont="1" applyFill="1" applyBorder="1"/>
    <xf numFmtId="2" fontId="0" fillId="0" borderId="0" xfId="1" applyNumberFormat="1" applyFont="1" applyFill="1" applyBorder="1"/>
    <xf numFmtId="165" fontId="0" fillId="3" borderId="0" xfId="1" applyNumberFormat="1" applyFont="1" applyFill="1" applyBorder="1"/>
    <xf numFmtId="166" fontId="0" fillId="0" borderId="0" xfId="1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2" xfId="0" applyFill="1" applyBorder="1" applyAlignment="1">
      <alignment wrapText="1"/>
    </xf>
    <xf numFmtId="0" fontId="3" fillId="0" borderId="7" xfId="0" applyFont="1" applyFill="1" applyBorder="1"/>
    <xf numFmtId="0" fontId="0" fillId="3" borderId="5" xfId="0" applyFill="1" applyBorder="1"/>
    <xf numFmtId="165" fontId="0" fillId="3" borderId="7" xfId="1" applyNumberFormat="1" applyFont="1" applyFill="1" applyBorder="1"/>
    <xf numFmtId="165" fontId="0" fillId="0" borderId="7" xfId="1" applyNumberFormat="1" applyFont="1" applyFill="1" applyBorder="1"/>
    <xf numFmtId="0" fontId="0" fillId="3" borderId="8" xfId="0" applyFill="1" applyBorder="1"/>
    <xf numFmtId="0" fontId="2" fillId="0" borderId="4" xfId="0" applyFont="1" applyFill="1" applyBorder="1"/>
    <xf numFmtId="166" fontId="0" fillId="7" borderId="0" xfId="0" applyNumberFormat="1" applyFont="1" applyFill="1" applyBorder="1"/>
    <xf numFmtId="166" fontId="0" fillId="7" borderId="5" xfId="0" applyNumberFormat="1" applyFont="1" applyFill="1" applyBorder="1"/>
    <xf numFmtId="166" fontId="0" fillId="7" borderId="7" xfId="0" applyNumberFormat="1" applyFont="1" applyFill="1" applyBorder="1"/>
    <xf numFmtId="166" fontId="0" fillId="7" borderId="8" xfId="0" applyNumberFormat="1" applyFont="1" applyFill="1" applyBorder="1"/>
    <xf numFmtId="2" fontId="3" fillId="0" borderId="0" xfId="0" applyNumberFormat="1" applyFont="1" applyFill="1" applyBorder="1"/>
    <xf numFmtId="164" fontId="0" fillId="7" borderId="0" xfId="1" applyNumberFormat="1" applyFont="1" applyFill="1" applyBorder="1"/>
    <xf numFmtId="164" fontId="0" fillId="7" borderId="4" xfId="1" applyNumberFormat="1" applyFont="1" applyFill="1" applyBorder="1"/>
    <xf numFmtId="164" fontId="0" fillId="7" borderId="6" xfId="1" applyNumberFormat="1" applyFont="1" applyFill="1" applyBorder="1"/>
    <xf numFmtId="1" fontId="0" fillId="0" borderId="0" xfId="0" applyNumberFormat="1" applyFill="1"/>
    <xf numFmtId="0" fontId="3" fillId="0" borderId="0" xfId="0" applyFont="1"/>
    <xf numFmtId="9" fontId="0" fillId="0" borderId="0" xfId="1" applyFont="1" applyFill="1" applyBorder="1"/>
    <xf numFmtId="9" fontId="0" fillId="0" borderId="7" xfId="1" applyFont="1" applyFill="1" applyBorder="1"/>
    <xf numFmtId="0" fontId="0" fillId="6" borderId="3" xfId="0" applyFill="1" applyBorder="1" applyAlignment="1">
      <alignment wrapText="1"/>
    </xf>
    <xf numFmtId="2" fontId="0" fillId="7" borderId="0" xfId="1" applyNumberFormat="1" applyFont="1" applyFill="1" applyBorder="1"/>
    <xf numFmtId="0" fontId="7" fillId="0" borderId="0" xfId="0" applyFont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5" borderId="1" xfId="0" applyFill="1" applyBorder="1" applyAlignment="1">
      <alignment wrapText="1"/>
    </xf>
    <xf numFmtId="2" fontId="0" fillId="7" borderId="7" xfId="1" applyNumberFormat="1" applyFont="1" applyFill="1" applyBorder="1"/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wrapText="1"/>
    </xf>
    <xf numFmtId="0" fontId="9" fillId="0" borderId="0" xfId="0" applyFont="1" applyFill="1"/>
    <xf numFmtId="164" fontId="0" fillId="0" borderId="0" xfId="1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Fill="1" applyBorder="1" applyProtection="1">
      <protection locked="0"/>
    </xf>
    <xf numFmtId="2" fontId="0" fillId="0" borderId="0" xfId="0" applyNumberFormat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9" fontId="0" fillId="0" borderId="5" xfId="1" applyFont="1" applyFill="1" applyBorder="1" applyProtection="1">
      <protection locked="0"/>
    </xf>
    <xf numFmtId="165" fontId="0" fillId="0" borderId="0" xfId="0" applyNumberFormat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9" fontId="0" fillId="0" borderId="8" xfId="1" applyFont="1" applyFill="1" applyBorder="1" applyProtection="1">
      <protection locked="0"/>
    </xf>
    <xf numFmtId="164" fontId="0" fillId="0" borderId="0" xfId="0" applyNumberFormat="1" applyBorder="1" applyProtection="1"/>
    <xf numFmtId="2" fontId="0" fillId="0" borderId="4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9" fontId="0" fillId="0" borderId="0" xfId="1" applyFont="1" applyFill="1" applyBorder="1" applyProtection="1">
      <protection locked="0"/>
    </xf>
    <xf numFmtId="9" fontId="0" fillId="0" borderId="7" xfId="1" applyFont="1" applyFill="1" applyBorder="1" applyProtection="1">
      <protection locked="0"/>
    </xf>
    <xf numFmtId="1" fontId="0" fillId="8" borderId="0" xfId="0" applyNumberFormat="1" applyFill="1" applyBorder="1" applyProtection="1">
      <protection locked="0"/>
    </xf>
    <xf numFmtId="2" fontId="0" fillId="8" borderId="5" xfId="0" applyNumberFormat="1" applyFill="1" applyBorder="1" applyProtection="1">
      <protection locked="0"/>
    </xf>
    <xf numFmtId="1" fontId="0" fillId="8" borderId="7" xfId="0" applyNumberFormat="1" applyFill="1" applyBorder="1" applyProtection="1">
      <protection locked="0"/>
    </xf>
    <xf numFmtId="2" fontId="0" fillId="8" borderId="8" xfId="0" applyNumberFormat="1" applyFill="1" applyBorder="1" applyProtection="1">
      <protection locked="0"/>
    </xf>
    <xf numFmtId="1" fontId="0" fillId="8" borderId="5" xfId="0" applyNumberFormat="1" applyFill="1" applyBorder="1" applyProtection="1">
      <protection locked="0"/>
    </xf>
    <xf numFmtId="1" fontId="0" fillId="8" borderId="8" xfId="0" applyNumberFormat="1" applyFill="1" applyBorder="1" applyProtection="1">
      <protection locked="0"/>
    </xf>
    <xf numFmtId="0" fontId="0" fillId="7" borderId="9" xfId="0" applyFill="1" applyBorder="1" applyAlignment="1">
      <alignment wrapText="1"/>
    </xf>
    <xf numFmtId="0" fontId="0" fillId="7" borderId="10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0" fillId="2" borderId="12" xfId="0" applyFill="1" applyBorder="1" applyAlignment="1">
      <alignment wrapText="1"/>
    </xf>
    <xf numFmtId="0" fontId="0" fillId="2" borderId="13" xfId="0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3" xfId="0" applyFont="1" applyFill="1" applyBorder="1" applyAlignment="1">
      <alignment wrapText="1"/>
    </xf>
    <xf numFmtId="164" fontId="0" fillId="0" borderId="12" xfId="1" applyNumberFormat="1" applyFont="1" applyBorder="1" applyProtection="1">
      <protection locked="0"/>
    </xf>
    <xf numFmtId="9" fontId="0" fillId="0" borderId="13" xfId="1" applyFont="1" applyFill="1" applyBorder="1" applyProtection="1">
      <protection locked="0"/>
    </xf>
    <xf numFmtId="164" fontId="0" fillId="0" borderId="14" xfId="1" applyNumberFormat="1" applyFont="1" applyBorder="1" applyProtection="1">
      <protection locked="0"/>
    </xf>
    <xf numFmtId="164" fontId="0" fillId="0" borderId="15" xfId="1" applyNumberFormat="1" applyFont="1" applyBorder="1" applyProtection="1">
      <protection locked="0"/>
    </xf>
    <xf numFmtId="164" fontId="0" fillId="0" borderId="15" xfId="0" applyNumberFormat="1" applyBorder="1" applyProtection="1"/>
    <xf numFmtId="0" fontId="0" fillId="0" borderId="15" xfId="0" applyBorder="1" applyProtection="1">
      <protection locked="0"/>
    </xf>
    <xf numFmtId="165" fontId="0" fillId="0" borderId="15" xfId="0" applyNumberFormat="1" applyBorder="1" applyProtection="1">
      <protection locked="0"/>
    </xf>
    <xf numFmtId="2" fontId="0" fillId="0" borderId="15" xfId="0" applyNumberFormat="1" applyBorder="1" applyProtection="1">
      <protection locked="0"/>
    </xf>
    <xf numFmtId="2" fontId="0" fillId="0" borderId="15" xfId="0" applyNumberFormat="1" applyFill="1" applyBorder="1" applyProtection="1">
      <protection locked="0"/>
    </xf>
    <xf numFmtId="9" fontId="0" fillId="0" borderId="16" xfId="1" applyFont="1" applyFill="1" applyBorder="1" applyProtection="1">
      <protection locked="0"/>
    </xf>
    <xf numFmtId="164" fontId="0" fillId="0" borderId="7" xfId="1" applyNumberFormat="1" applyFont="1" applyFill="1" applyBorder="1"/>
    <xf numFmtId="2" fontId="0" fillId="0" borderId="7" xfId="1" applyNumberFormat="1" applyFont="1" applyFill="1" applyBorder="1"/>
    <xf numFmtId="2" fontId="3" fillId="0" borderId="7" xfId="0" applyNumberFormat="1" applyFont="1" applyFill="1" applyBorder="1"/>
    <xf numFmtId="166" fontId="0" fillId="0" borderId="7" xfId="1" applyNumberFormat="1" applyFon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ZEV</a:t>
            </a:r>
            <a:r>
              <a:rPr lang="en-US" sz="2800" baseline="0"/>
              <a:t> and </a:t>
            </a:r>
            <a:r>
              <a:rPr lang="en-US" sz="2800"/>
              <a:t>TZEV</a:t>
            </a:r>
            <a:r>
              <a:rPr lang="en-US" sz="2800" baseline="0"/>
              <a:t> Sale Rates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BAU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f>BAU!$AQ$6:$AQ$18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BAU!$AR$6:$AR$18</c:f>
              <c:numCache>
                <c:formatCode>0.0%</c:formatCode>
                <c:ptCount val="13"/>
                <c:pt idx="0">
                  <c:v>3.5784096777426902E-2</c:v>
                </c:pt>
                <c:pt idx="1">
                  <c:v>3.6637900176979953E-2</c:v>
                </c:pt>
                <c:pt idx="2">
                  <c:v>3.740736332673264E-2</c:v>
                </c:pt>
                <c:pt idx="3">
                  <c:v>3.9164750073218776E-2</c:v>
                </c:pt>
                <c:pt idx="4">
                  <c:v>4.0032921864938231E-2</c:v>
                </c:pt>
                <c:pt idx="5">
                  <c:v>4.0978035951773795E-2</c:v>
                </c:pt>
                <c:pt idx="6">
                  <c:v>4.1798919798883859E-2</c:v>
                </c:pt>
                <c:pt idx="7">
                  <c:v>4.2633200692227695E-2</c:v>
                </c:pt>
                <c:pt idx="8">
                  <c:v>4.7712703093561015E-2</c:v>
                </c:pt>
                <c:pt idx="9">
                  <c:v>4.8514921471622667E-2</c:v>
                </c:pt>
                <c:pt idx="10">
                  <c:v>4.9358631894333899E-2</c:v>
                </c:pt>
                <c:pt idx="11">
                  <c:v>5.0163480451590206E-2</c:v>
                </c:pt>
                <c:pt idx="12">
                  <c:v>5.0960534047528178E-2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95-4400-9EAB-FE72CB5DF886}"/>
            </c:ext>
          </c:extLst>
        </c:ser>
        <c:ser>
          <c:idx val="1"/>
          <c:order val="1"/>
          <c:tx>
            <c:v>Minumum Compliance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4-A595-4400-9EAB-FE72CB5DF88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A595-4400-9EAB-FE72CB5DF886}"/>
              </c:ext>
            </c:extLst>
          </c:dPt>
          <c:dPt>
            <c:idx val="2"/>
            <c:marker>
              <c:symbol val="square"/>
              <c:size val="5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6-A595-4400-9EAB-FE72CB5DF886}"/>
              </c:ext>
            </c:extLst>
          </c:dPt>
          <c:val>
            <c:numRef>
              <c:f>'Minimum Compliance'!$AM$6:$AM$18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0.11577188503469006</c:v>
                </c:pt>
                <c:pt idx="3">
                  <c:v>0.1124865490489031</c:v>
                </c:pt>
                <c:pt idx="4">
                  <c:v>0.11044439100000507</c:v>
                </c:pt>
                <c:pt idx="5">
                  <c:v>0.10913128244709659</c:v>
                </c:pt>
                <c:pt idx="6">
                  <c:v>0.10738782642598456</c:v>
                </c:pt>
                <c:pt idx="7">
                  <c:v>0.10651345343684569</c:v>
                </c:pt>
                <c:pt idx="8">
                  <c:v>0.10580622558277963</c:v>
                </c:pt>
                <c:pt idx="9">
                  <c:v>0.10559545752269085</c:v>
                </c:pt>
                <c:pt idx="10">
                  <c:v>0.10507578381854263</c:v>
                </c:pt>
                <c:pt idx="11">
                  <c:v>0.10471804551059437</c:v>
                </c:pt>
                <c:pt idx="12">
                  <c:v>0.10338279359149249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95-4400-9EAB-FE72CB5DF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05696"/>
        <c:axId val="1262806528"/>
      </c:lineChart>
      <c:catAx>
        <c:axId val="12628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6528"/>
        <c:crosses val="autoZero"/>
        <c:auto val="1"/>
        <c:lblAlgn val="ctr"/>
        <c:lblOffset val="100"/>
        <c:noMultiLvlLbl val="0"/>
      </c:catAx>
      <c:valAx>
        <c:axId val="12628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ZEV+TZEV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ZEV</a:t>
            </a:r>
            <a:r>
              <a:rPr lang="en-US" sz="2800" baseline="0"/>
              <a:t> and </a:t>
            </a:r>
            <a:r>
              <a:rPr lang="en-US" sz="2800"/>
              <a:t>TZEV</a:t>
            </a:r>
            <a:r>
              <a:rPr lang="en-US" sz="2800" baseline="0"/>
              <a:t> Sale Rates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BAU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f>BAU!$AQ$6:$AQ$18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BAU!$AR$6:$AR$18</c:f>
              <c:numCache>
                <c:formatCode>0.0%</c:formatCode>
                <c:ptCount val="13"/>
                <c:pt idx="0">
                  <c:v>3.5784096777426902E-2</c:v>
                </c:pt>
                <c:pt idx="1">
                  <c:v>3.6637900176979953E-2</c:v>
                </c:pt>
                <c:pt idx="2">
                  <c:v>3.740736332673264E-2</c:v>
                </c:pt>
                <c:pt idx="3">
                  <c:v>3.9164750073218776E-2</c:v>
                </c:pt>
                <c:pt idx="4">
                  <c:v>4.0032921864938231E-2</c:v>
                </c:pt>
                <c:pt idx="5">
                  <c:v>4.0978035951773795E-2</c:v>
                </c:pt>
                <c:pt idx="6">
                  <c:v>4.1798919798883859E-2</c:v>
                </c:pt>
                <c:pt idx="7">
                  <c:v>4.2633200692227695E-2</c:v>
                </c:pt>
                <c:pt idx="8">
                  <c:v>4.7712703093561015E-2</c:v>
                </c:pt>
                <c:pt idx="9">
                  <c:v>4.8514921471622667E-2</c:v>
                </c:pt>
                <c:pt idx="10">
                  <c:v>4.9358631894333899E-2</c:v>
                </c:pt>
                <c:pt idx="11">
                  <c:v>5.0163480451590206E-2</c:v>
                </c:pt>
                <c:pt idx="12">
                  <c:v>5.0960534047528178E-2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2B-4C9E-A18C-95A0FF3D7E26}"/>
            </c:ext>
          </c:extLst>
        </c:ser>
        <c:ser>
          <c:idx val="1"/>
          <c:order val="1"/>
          <c:tx>
            <c:v>Minumum Compliance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squar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dPt>
            <c:idx val="0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1-822B-4C9E-A18C-95A0FF3D7E26}"/>
              </c:ext>
            </c:extLst>
          </c:dPt>
          <c:dPt>
            <c:idx val="1"/>
            <c:marker>
              <c:symbol val="none"/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3-822B-4C9E-A18C-95A0FF3D7E26}"/>
              </c:ext>
            </c:extLst>
          </c:dPt>
          <c:dPt>
            <c:idx val="2"/>
            <c:marker>
              <c:symbol val="square"/>
              <c:size val="5"/>
              <c:spPr>
                <a:solidFill>
                  <a:schemeClr val="accent2">
                    <a:lumMod val="60000"/>
                    <a:lumOff val="40000"/>
                  </a:schemeClr>
                </a:solidFill>
                <a:ln>
                  <a:noFill/>
                </a:ln>
                <a:effectLst>
                  <a:glow rad="63500">
                    <a:schemeClr val="accent2">
                      <a:satMod val="175000"/>
                      <a:alpha val="25000"/>
                    </a:schemeClr>
                  </a:glow>
                </a:effectLst>
              </c:spPr>
            </c:marker>
            <c:bubble3D val="0"/>
            <c:spPr>
              <a:ln w="22225" cap="rnd">
                <a:noFill/>
              </a:ln>
              <a:effectLst>
                <a:glow rad="139700">
                  <a:schemeClr val="accent2">
                    <a:satMod val="175000"/>
                    <a:alpha val="14000"/>
                  </a:schemeClr>
                </a:glow>
              </a:effectLst>
            </c:spPr>
            <c:extLst>
              <c:ext xmlns:c16="http://schemas.microsoft.com/office/drawing/2014/chart" uri="{C3380CC4-5D6E-409C-BE32-E72D297353CC}">
                <c16:uniqueId val="{00000005-822B-4C9E-A18C-95A0FF3D7E26}"/>
              </c:ext>
            </c:extLst>
          </c:dPt>
          <c:val>
            <c:numRef>
              <c:f>'Minimum Compliance'!$AM$6:$AM$18</c:f>
              <c:numCache>
                <c:formatCode>0.0%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0.11577188503469006</c:v>
                </c:pt>
                <c:pt idx="3">
                  <c:v>0.1124865490489031</c:v>
                </c:pt>
                <c:pt idx="4">
                  <c:v>0.11044439100000507</c:v>
                </c:pt>
                <c:pt idx="5">
                  <c:v>0.10913128244709659</c:v>
                </c:pt>
                <c:pt idx="6">
                  <c:v>0.10738782642598456</c:v>
                </c:pt>
                <c:pt idx="7">
                  <c:v>0.10651345343684569</c:v>
                </c:pt>
                <c:pt idx="8">
                  <c:v>0.10580622558277963</c:v>
                </c:pt>
                <c:pt idx="9">
                  <c:v>0.10559545752269085</c:v>
                </c:pt>
                <c:pt idx="10">
                  <c:v>0.10507578381854263</c:v>
                </c:pt>
                <c:pt idx="11">
                  <c:v>0.10471804551059437</c:v>
                </c:pt>
                <c:pt idx="12">
                  <c:v>0.10338279359149249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2B-4C9E-A18C-95A0FF3D7E26}"/>
            </c:ext>
          </c:extLst>
        </c:ser>
        <c:ser>
          <c:idx val="2"/>
          <c:order val="2"/>
          <c:tx>
            <c:v>Anticipated Compliance</c:v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square"/>
            <c:size val="5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val>
            <c:numRef>
              <c:f>'Anticipated Compliance'!$AR$6:$AR$18</c:f>
              <c:numCache>
                <c:formatCode>0.0%</c:formatCode>
                <c:ptCount val="13"/>
                <c:pt idx="0">
                  <c:v>4.1414605105357216E-2</c:v>
                </c:pt>
                <c:pt idx="1">
                  <c:v>5.3113250766287298E-2</c:v>
                </c:pt>
                <c:pt idx="2">
                  <c:v>0.14147019348104292</c:v>
                </c:pt>
                <c:pt idx="3">
                  <c:v>0.13943731301117401</c:v>
                </c:pt>
                <c:pt idx="4">
                  <c:v>0.13762858218451066</c:v>
                </c:pt>
                <c:pt idx="5">
                  <c:v>0.13714416106285884</c:v>
                </c:pt>
                <c:pt idx="6">
                  <c:v>0.13563449852192461</c:v>
                </c:pt>
                <c:pt idx="7">
                  <c:v>0.13499483252177888</c:v>
                </c:pt>
                <c:pt idx="8">
                  <c:v>0.17311604577148643</c:v>
                </c:pt>
                <c:pt idx="9">
                  <c:v>0.1813983140943827</c:v>
                </c:pt>
                <c:pt idx="10">
                  <c:v>0.18803249042323888</c:v>
                </c:pt>
                <c:pt idx="11">
                  <c:v>0.19482685182156656</c:v>
                </c:pt>
                <c:pt idx="12">
                  <c:v>0.20064222620386471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2B-4C9E-A18C-95A0FF3D7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05696"/>
        <c:axId val="1262806528"/>
      </c:lineChart>
      <c:catAx>
        <c:axId val="12628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6528"/>
        <c:crosses val="autoZero"/>
        <c:auto val="1"/>
        <c:lblAlgn val="ctr"/>
        <c:lblOffset val="100"/>
        <c:noMultiLvlLbl val="0"/>
      </c:catAx>
      <c:valAx>
        <c:axId val="12628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ZEV+TZEV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ZEV</a:t>
            </a:r>
            <a:r>
              <a:rPr lang="en-US" sz="2800" baseline="0"/>
              <a:t> and </a:t>
            </a:r>
            <a:r>
              <a:rPr lang="en-US" sz="2800"/>
              <a:t>TZEV</a:t>
            </a:r>
            <a:r>
              <a:rPr lang="en-US" sz="2800" baseline="0"/>
              <a:t> Sale Rates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BAU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squar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f>BAU!$AQ$6:$AQ$18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BAU!$AR$6:$AR$18</c:f>
              <c:numCache>
                <c:formatCode>0.0%</c:formatCode>
                <c:ptCount val="13"/>
                <c:pt idx="0">
                  <c:v>3.5784096777426902E-2</c:v>
                </c:pt>
                <c:pt idx="1">
                  <c:v>3.6637900176979953E-2</c:v>
                </c:pt>
                <c:pt idx="2">
                  <c:v>3.740736332673264E-2</c:v>
                </c:pt>
                <c:pt idx="3">
                  <c:v>3.9164750073218776E-2</c:v>
                </c:pt>
                <c:pt idx="4">
                  <c:v>4.0032921864938231E-2</c:v>
                </c:pt>
                <c:pt idx="5">
                  <c:v>4.0978035951773795E-2</c:v>
                </c:pt>
                <c:pt idx="6">
                  <c:v>4.1798919798883859E-2</c:v>
                </c:pt>
                <c:pt idx="7">
                  <c:v>4.2633200692227695E-2</c:v>
                </c:pt>
                <c:pt idx="8">
                  <c:v>4.7712703093561015E-2</c:v>
                </c:pt>
                <c:pt idx="9">
                  <c:v>4.8514921471622667E-2</c:v>
                </c:pt>
                <c:pt idx="10">
                  <c:v>4.9358631894333899E-2</c:v>
                </c:pt>
                <c:pt idx="11">
                  <c:v>5.0163480451590206E-2</c:v>
                </c:pt>
                <c:pt idx="12">
                  <c:v>5.0960534047528178E-2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C9-4CA9-8737-DF86CF4FC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05696"/>
        <c:axId val="1262806528"/>
      </c:lineChart>
      <c:catAx>
        <c:axId val="12628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6528"/>
        <c:crosses val="autoZero"/>
        <c:auto val="1"/>
        <c:lblAlgn val="ctr"/>
        <c:lblOffset val="100"/>
        <c:noMultiLvlLbl val="0"/>
      </c:catAx>
      <c:valAx>
        <c:axId val="12628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ZEV+TZEV Sales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CO2- Annual</a:t>
            </a:r>
            <a:r>
              <a:rPr lang="en-US" sz="2800" baseline="0"/>
              <a:t> </a:t>
            </a:r>
            <a:r>
              <a:rPr lang="en-US" sz="2800"/>
              <a:t>Emission Avoidance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BAU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val>
            <c:numRef>
              <c:f>BAU!$AV$6:$AV$18</c:f>
              <c:numCache>
                <c:formatCode>0.0</c:formatCode>
                <c:ptCount val="13"/>
                <c:pt idx="0">
                  <c:v>3147.7780052041758</c:v>
                </c:pt>
                <c:pt idx="1">
                  <c:v>6419.4170084516736</c:v>
                </c:pt>
                <c:pt idx="2">
                  <c:v>9872.9137066292369</c:v>
                </c:pt>
                <c:pt idx="3">
                  <c:v>13434.000634285363</c:v>
                </c:pt>
                <c:pt idx="4">
                  <c:v>17354.594066155907</c:v>
                </c:pt>
                <c:pt idx="5">
                  <c:v>21553.378974320756</c:v>
                </c:pt>
                <c:pt idx="6">
                  <c:v>25959.046327379765</c:v>
                </c:pt>
                <c:pt idx="7">
                  <c:v>30682.37414657756</c:v>
                </c:pt>
                <c:pt idx="8">
                  <c:v>36107.207492772286</c:v>
                </c:pt>
                <c:pt idx="9">
                  <c:v>42375.442612287239</c:v>
                </c:pt>
                <c:pt idx="10">
                  <c:v>48671.500404131191</c:v>
                </c:pt>
                <c:pt idx="11">
                  <c:v>55213.392224788782</c:v>
                </c:pt>
                <c:pt idx="12">
                  <c:v>61929.064581846069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54-4246-BF0A-D2C4C1397E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05696"/>
        <c:axId val="1262806528"/>
      </c:lineChart>
      <c:catAx>
        <c:axId val="12628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6528"/>
        <c:crosses val="autoZero"/>
        <c:auto val="1"/>
        <c:lblAlgn val="ctr"/>
        <c:lblOffset val="100"/>
        <c:noMultiLvlLbl val="0"/>
      </c:catAx>
      <c:valAx>
        <c:axId val="12628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Net</a:t>
                </a:r>
                <a:r>
                  <a:rPr lang="en-US" sz="2000" baseline="0"/>
                  <a:t> </a:t>
                </a:r>
                <a:r>
                  <a:rPr lang="en-US" sz="2000"/>
                  <a:t>CO</a:t>
                </a:r>
                <a:r>
                  <a:rPr lang="en-US" sz="2000" baseline="-25000"/>
                  <a:t>2</a:t>
                </a:r>
                <a:r>
                  <a:rPr lang="en-US" sz="2000"/>
                  <a:t> - MTons/year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 i="0" u="none" strike="noStrike" cap="none" baseline="0">
                <a:effectLst/>
              </a:rPr>
              <a:t>NMOG+NO</a:t>
            </a:r>
            <a:r>
              <a:rPr lang="en-US" sz="2800" b="1" i="0" u="none" strike="noStrike" cap="none" baseline="-25000">
                <a:effectLst/>
              </a:rPr>
              <a:t>x</a:t>
            </a:r>
            <a:r>
              <a:rPr lang="en-US" sz="2800" b="1" i="0" u="none" strike="noStrike" cap="none" baseline="0">
                <a:effectLst/>
              </a:rPr>
              <a:t>- </a:t>
            </a:r>
            <a:r>
              <a:rPr lang="en-US" sz="2800"/>
              <a:t>- Annual</a:t>
            </a:r>
            <a:r>
              <a:rPr lang="en-US" sz="2800" baseline="0"/>
              <a:t> </a:t>
            </a:r>
            <a:r>
              <a:rPr lang="en-US" sz="2800"/>
              <a:t>Emission Avoidance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BAU</c:v>
          </c:tx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f>BAU!$AQ$6:$AQ$18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BAU!$AX$6:$AX$18</c:f>
              <c:numCache>
                <c:formatCode>0.0</c:formatCode>
                <c:ptCount val="13"/>
                <c:pt idx="0">
                  <c:v>3.3590613325087304</c:v>
                </c:pt>
                <c:pt idx="1">
                  <c:v>6.4951245380634726</c:v>
                </c:pt>
                <c:pt idx="2">
                  <c:v>9.3613530948807178</c:v>
                </c:pt>
                <c:pt idx="3">
                  <c:v>12.431789901458089</c:v>
                </c:pt>
                <c:pt idx="4">
                  <c:v>15.574804417077564</c:v>
                </c:pt>
                <c:pt idx="5">
                  <c:v>18.76164397511047</c:v>
                </c:pt>
                <c:pt idx="6">
                  <c:v>22.038250055769797</c:v>
                </c:pt>
                <c:pt idx="7">
                  <c:v>25.39916328255736</c:v>
                </c:pt>
                <c:pt idx="8">
                  <c:v>29.173720564064528</c:v>
                </c:pt>
                <c:pt idx="9">
                  <c:v>33.043862747623443</c:v>
                </c:pt>
                <c:pt idx="10">
                  <c:v>36.994193906620119</c:v>
                </c:pt>
                <c:pt idx="11">
                  <c:v>41.037162647774736</c:v>
                </c:pt>
                <c:pt idx="12">
                  <c:v>45.173913755703651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33-4506-9679-052420805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05696"/>
        <c:axId val="1262806528"/>
      </c:lineChart>
      <c:catAx>
        <c:axId val="12628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6528"/>
        <c:crosses val="autoZero"/>
        <c:auto val="1"/>
        <c:lblAlgn val="ctr"/>
        <c:lblOffset val="100"/>
        <c:noMultiLvlLbl val="0"/>
      </c:catAx>
      <c:valAx>
        <c:axId val="12628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 i="0" u="none" strike="noStrike" baseline="0">
                    <a:effectLst/>
                  </a:rPr>
                  <a:t>NMOG+NO</a:t>
                </a:r>
                <a:r>
                  <a:rPr lang="en-US" sz="2000" b="1" i="0" u="none" strike="noStrike" baseline="-25000">
                    <a:effectLst/>
                  </a:rPr>
                  <a:t>X</a:t>
                </a:r>
                <a:r>
                  <a:rPr lang="en-US" sz="2000" b="1" i="0" u="none" strike="noStrike" baseline="0">
                    <a:effectLst/>
                  </a:rPr>
                  <a:t> - Tons</a:t>
                </a:r>
                <a:r>
                  <a:rPr lang="en-US" sz="2000"/>
                  <a:t>/year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CO2- Annual</a:t>
            </a:r>
            <a:r>
              <a:rPr lang="en-US" sz="2800" baseline="0"/>
              <a:t> </a:t>
            </a:r>
            <a:r>
              <a:rPr lang="en-US" sz="2800"/>
              <a:t>Emission Avoidance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Minimum Compliance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f>'Scenarios Minus BAU'!$A$5:$A$17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'Scenarios Minus BAU'!$B$5:$B$17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5797.1315113135897</c:v>
                </c:pt>
                <c:pt idx="4">
                  <c:v>12342.461440170769</c:v>
                </c:pt>
                <c:pt idx="5">
                  <c:v>19213.622248809934</c:v>
                </c:pt>
                <c:pt idx="6">
                  <c:v>26282.855280888914</c:v>
                </c:pt>
                <c:pt idx="7">
                  <c:v>33738.786359915714</c:v>
                </c:pt>
                <c:pt idx="8">
                  <c:v>41013.217462634027</c:v>
                </c:pt>
                <c:pt idx="9">
                  <c:v>49160.991597143133</c:v>
                </c:pt>
                <c:pt idx="10">
                  <c:v>57514.32349738112</c:v>
                </c:pt>
                <c:pt idx="11">
                  <c:v>66106.994452024723</c:v>
                </c:pt>
                <c:pt idx="12">
                  <c:v>74432.821865354548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A7-426C-9F7F-4670054D2F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05696"/>
        <c:axId val="1262806528"/>
      </c:lineChart>
      <c:catAx>
        <c:axId val="12628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6528"/>
        <c:crosses val="autoZero"/>
        <c:auto val="1"/>
        <c:lblAlgn val="ctr"/>
        <c:lblOffset val="100"/>
        <c:noMultiLvlLbl val="0"/>
      </c:catAx>
      <c:valAx>
        <c:axId val="12628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Net</a:t>
                </a:r>
                <a:r>
                  <a:rPr lang="en-US" sz="2000" baseline="0"/>
                  <a:t> </a:t>
                </a:r>
                <a:r>
                  <a:rPr lang="en-US" sz="2000"/>
                  <a:t>CO</a:t>
                </a:r>
                <a:r>
                  <a:rPr lang="en-US" sz="2000" baseline="-25000"/>
                  <a:t>2</a:t>
                </a:r>
                <a:r>
                  <a:rPr lang="en-US" sz="2000"/>
                  <a:t> - MTons/year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CO2- Annual</a:t>
            </a:r>
            <a:r>
              <a:rPr lang="en-US" sz="2800" baseline="0"/>
              <a:t> </a:t>
            </a:r>
            <a:r>
              <a:rPr lang="en-US" sz="2800"/>
              <a:t>Emission Avoidance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Minimum Compliance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f>'Scenarios Minus BAU'!$A$5:$A$17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'Scenarios Minus BAU'!$B$5:$B$17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5797.1315113135897</c:v>
                </c:pt>
                <c:pt idx="4">
                  <c:v>12342.461440170769</c:v>
                </c:pt>
                <c:pt idx="5">
                  <c:v>19213.622248809934</c:v>
                </c:pt>
                <c:pt idx="6">
                  <c:v>26282.855280888914</c:v>
                </c:pt>
                <c:pt idx="7">
                  <c:v>33738.786359915714</c:v>
                </c:pt>
                <c:pt idx="8">
                  <c:v>41013.217462634027</c:v>
                </c:pt>
                <c:pt idx="9">
                  <c:v>49160.991597143133</c:v>
                </c:pt>
                <c:pt idx="10">
                  <c:v>57514.32349738112</c:v>
                </c:pt>
                <c:pt idx="11">
                  <c:v>66106.994452024723</c:v>
                </c:pt>
                <c:pt idx="12">
                  <c:v>74432.821865354548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E8-488F-A4DD-F23ECD83FA2F}"/>
            </c:ext>
          </c:extLst>
        </c:ser>
        <c:ser>
          <c:idx val="2"/>
          <c:order val="1"/>
          <c:tx>
            <c:v>Anticipated Compliance</c:v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f>'Scenarios Minus BAU'!$A$5:$A$17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'Scenarios Minus BAU'!$D$5:$D$17</c:f>
              <c:numCache>
                <c:formatCode>General</c:formatCode>
                <c:ptCount val="13"/>
                <c:pt idx="0">
                  <c:v>641.09425794216077</c:v>
                </c:pt>
                <c:pt idx="1">
                  <c:v>2310.4240252399431</c:v>
                </c:pt>
                <c:pt idx="2">
                  <c:v>11085.876458783916</c:v>
                </c:pt>
                <c:pt idx="3">
                  <c:v>19442.83697590436</c:v>
                </c:pt>
                <c:pt idx="4">
                  <c:v>28647.208172561644</c:v>
                </c:pt>
                <c:pt idx="5">
                  <c:v>38370.642600027291</c:v>
                </c:pt>
                <c:pt idx="6">
                  <c:v>48365.461042068782</c:v>
                </c:pt>
                <c:pt idx="7">
                  <c:v>58892.355910928229</c:v>
                </c:pt>
                <c:pt idx="8">
                  <c:v>74119.974740643258</c:v>
                </c:pt>
                <c:pt idx="9">
                  <c:v>92426.205993702111</c:v>
                </c:pt>
                <c:pt idx="10">
                  <c:v>112038.62439934805</c:v>
                </c:pt>
                <c:pt idx="11">
                  <c:v>133070.62209532739</c:v>
                </c:pt>
                <c:pt idx="12">
                  <c:v>155013.89096436559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E8-488F-A4DD-F23ECD83F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05696"/>
        <c:axId val="1262806528"/>
      </c:lineChart>
      <c:catAx>
        <c:axId val="12628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6528"/>
        <c:crosses val="autoZero"/>
        <c:auto val="1"/>
        <c:lblAlgn val="ctr"/>
        <c:lblOffset val="100"/>
        <c:noMultiLvlLbl val="0"/>
      </c:catAx>
      <c:valAx>
        <c:axId val="12628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Net</a:t>
                </a:r>
                <a:r>
                  <a:rPr lang="en-US" sz="2000" baseline="0"/>
                  <a:t> </a:t>
                </a:r>
                <a:r>
                  <a:rPr lang="en-US" sz="2000"/>
                  <a:t>CO</a:t>
                </a:r>
                <a:r>
                  <a:rPr lang="en-US" sz="2000" baseline="-25000"/>
                  <a:t>2</a:t>
                </a:r>
                <a:r>
                  <a:rPr lang="en-US" sz="2000"/>
                  <a:t> - MTons/year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 i="0" u="none" strike="noStrike" cap="none" baseline="0">
                <a:effectLst/>
              </a:rPr>
              <a:t>NMOG+NO</a:t>
            </a:r>
            <a:r>
              <a:rPr lang="en-US" sz="2800" b="1" i="0" u="none" strike="noStrike" cap="none" baseline="-25000">
                <a:effectLst/>
              </a:rPr>
              <a:t>x</a:t>
            </a:r>
            <a:r>
              <a:rPr lang="en-US" sz="2800" b="1" i="0" u="none" strike="noStrike" cap="none" baseline="0">
                <a:effectLst/>
              </a:rPr>
              <a:t>- </a:t>
            </a:r>
            <a:r>
              <a:rPr lang="en-US" sz="2800"/>
              <a:t>- Annual</a:t>
            </a:r>
            <a:r>
              <a:rPr lang="en-US" sz="2800" baseline="0"/>
              <a:t> </a:t>
            </a:r>
            <a:r>
              <a:rPr lang="en-US" sz="2800"/>
              <a:t>Emission Avoidance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Minimum Compliance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f>'Scenarios Minus BAU'!$A$5:$A$17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'Scenarios Minus BAU'!$C$5:$C$17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5.2576051397649657</c:v>
                </c:pt>
                <c:pt idx="4">
                  <c:v>10.785662030147259</c:v>
                </c:pt>
                <c:pt idx="5">
                  <c:v>16.085902924934711</c:v>
                </c:pt>
                <c:pt idx="6">
                  <c:v>21.227399674424735</c:v>
                </c:pt>
                <c:pt idx="7">
                  <c:v>26.26328679746355</c:v>
                </c:pt>
                <c:pt idx="8">
                  <c:v>30.85907186313241</c:v>
                </c:pt>
                <c:pt idx="9">
                  <c:v>35.41251199516703</c:v>
                </c:pt>
                <c:pt idx="10">
                  <c:v>39.871736104294335</c:v>
                </c:pt>
                <c:pt idx="11">
                  <c:v>44.26860807639946</c:v>
                </c:pt>
                <c:pt idx="12">
                  <c:v>47.249119910024149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DD-40B0-9571-8A17DBC8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05696"/>
        <c:axId val="1262806528"/>
      </c:lineChart>
      <c:catAx>
        <c:axId val="12628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6528"/>
        <c:crosses val="autoZero"/>
        <c:auto val="1"/>
        <c:lblAlgn val="ctr"/>
        <c:lblOffset val="100"/>
        <c:noMultiLvlLbl val="0"/>
      </c:catAx>
      <c:valAx>
        <c:axId val="12628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 i="0" u="none" strike="noStrike" baseline="0">
                    <a:effectLst/>
                  </a:rPr>
                  <a:t>NMOG+NO</a:t>
                </a:r>
                <a:r>
                  <a:rPr lang="en-US" sz="2000" b="1" i="0" u="none" strike="noStrike" baseline="-25000">
                    <a:effectLst/>
                  </a:rPr>
                  <a:t>X</a:t>
                </a:r>
                <a:r>
                  <a:rPr lang="en-US" sz="2000" b="1" i="0" u="none" strike="noStrike" baseline="0">
                    <a:effectLst/>
                  </a:rPr>
                  <a:t> - Tons</a:t>
                </a:r>
                <a:r>
                  <a:rPr lang="en-US" sz="2000"/>
                  <a:t>/year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 i="0" u="none" strike="noStrike" cap="none" baseline="0">
                <a:effectLst/>
              </a:rPr>
              <a:t>NMOG+NO</a:t>
            </a:r>
            <a:r>
              <a:rPr lang="en-US" sz="2800" b="1" i="0" u="none" strike="noStrike" cap="none" baseline="-25000">
                <a:effectLst/>
              </a:rPr>
              <a:t>x</a:t>
            </a:r>
            <a:r>
              <a:rPr lang="en-US" sz="2800" b="1" i="0" u="none" strike="noStrike" cap="none" baseline="0">
                <a:effectLst/>
              </a:rPr>
              <a:t>- </a:t>
            </a:r>
            <a:r>
              <a:rPr lang="en-US" sz="2800"/>
              <a:t>- Annual</a:t>
            </a:r>
            <a:r>
              <a:rPr lang="en-US" sz="2800" baseline="0"/>
              <a:t> </a:t>
            </a:r>
            <a:r>
              <a:rPr lang="en-US" sz="2800"/>
              <a:t>Emission Avoidance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Minimum Compliance</c:v>
          </c:tx>
          <c:spPr>
            <a:ln w="22225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2">
                    <a:satMod val="175000"/>
                    <a:alpha val="25000"/>
                  </a:schemeClr>
                </a:glow>
              </a:effectLst>
            </c:spPr>
          </c:marker>
          <c:cat>
            <c:numRef>
              <c:f>'Scenarios Minus BAU'!$A$5:$A$17</c:f>
              <c:numCache>
                <c:formatCode>General</c:formatCode>
                <c:ptCount val="13"/>
                <c:pt idx="0">
                  <c:v>2023</c:v>
                </c:pt>
                <c:pt idx="1">
                  <c:v>2024</c:v>
                </c:pt>
                <c:pt idx="2">
                  <c:v>2025</c:v>
                </c:pt>
                <c:pt idx="3">
                  <c:v>2026</c:v>
                </c:pt>
                <c:pt idx="4">
                  <c:v>2027</c:v>
                </c:pt>
                <c:pt idx="5">
                  <c:v>2028</c:v>
                </c:pt>
                <c:pt idx="6">
                  <c:v>2029</c:v>
                </c:pt>
                <c:pt idx="7">
                  <c:v>2030</c:v>
                </c:pt>
                <c:pt idx="8">
                  <c:v>2031</c:v>
                </c:pt>
                <c:pt idx="9">
                  <c:v>2032</c:v>
                </c:pt>
                <c:pt idx="10">
                  <c:v>2033</c:v>
                </c:pt>
                <c:pt idx="11">
                  <c:v>2034</c:v>
                </c:pt>
                <c:pt idx="12">
                  <c:v>2035</c:v>
                </c:pt>
              </c:numCache>
            </c:numRef>
          </c:cat>
          <c:val>
            <c:numRef>
              <c:f>'Scenarios Minus BAU'!$C$5:$C$17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5.2576051397649657</c:v>
                </c:pt>
                <c:pt idx="4">
                  <c:v>10.785662030147259</c:v>
                </c:pt>
                <c:pt idx="5">
                  <c:v>16.085902924934711</c:v>
                </c:pt>
                <c:pt idx="6">
                  <c:v>21.227399674424735</c:v>
                </c:pt>
                <c:pt idx="7">
                  <c:v>26.26328679746355</c:v>
                </c:pt>
                <c:pt idx="8">
                  <c:v>30.85907186313241</c:v>
                </c:pt>
                <c:pt idx="9">
                  <c:v>35.41251199516703</c:v>
                </c:pt>
                <c:pt idx="10">
                  <c:v>39.871736104294335</c:v>
                </c:pt>
                <c:pt idx="11">
                  <c:v>44.26860807639946</c:v>
                </c:pt>
                <c:pt idx="12">
                  <c:v>47.249119910024149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C7-4836-9DC1-3130A10FA337}"/>
            </c:ext>
          </c:extLst>
        </c:ser>
        <c:ser>
          <c:idx val="2"/>
          <c:order val="1"/>
          <c:tx>
            <c:v>Anticipated Compliance</c:v>
          </c:tx>
          <c:spPr>
            <a:ln w="22225" cap="rnd">
              <a:solidFill>
                <a:schemeClr val="accent3"/>
              </a:solidFill>
            </a:ln>
            <a:effectLst>
              <a:glow rad="139700">
                <a:schemeClr val="accent3">
                  <a:satMod val="175000"/>
                  <a:alpha val="14000"/>
                </a:schemeClr>
              </a:glow>
            </a:effectLst>
          </c:spPr>
          <c:marker>
            <c:symbol val="circle"/>
            <c:size val="4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3">
                    <a:satMod val="175000"/>
                    <a:alpha val="25000"/>
                  </a:schemeClr>
                </a:glow>
              </a:effectLst>
            </c:spPr>
          </c:marker>
          <c:val>
            <c:numRef>
              <c:f>'Scenarios Minus BAU'!$E$5:$E$17</c:f>
              <c:numCache>
                <c:formatCode>General</c:formatCode>
                <c:ptCount val="13"/>
                <c:pt idx="0">
                  <c:v>0.52853710195222359</c:v>
                </c:pt>
                <c:pt idx="1">
                  <c:v>1.9387636851395653</c:v>
                </c:pt>
                <c:pt idx="2">
                  <c:v>9.9122702080746929</c:v>
                </c:pt>
                <c:pt idx="3">
                  <c:v>17.773435346597442</c:v>
                </c:pt>
                <c:pt idx="4">
                  <c:v>25.435743336025958</c:v>
                </c:pt>
                <c:pt idx="5">
                  <c:v>32.914530557732263</c:v>
                </c:pt>
                <c:pt idx="6">
                  <c:v>40.270276335505045</c:v>
                </c:pt>
                <c:pt idx="7">
                  <c:v>47.551442774416408</c:v>
                </c:pt>
                <c:pt idx="8">
                  <c:v>57.472115248204247</c:v>
                </c:pt>
                <c:pt idx="9">
                  <c:v>68.072516272960627</c:v>
                </c:pt>
                <c:pt idx="10">
                  <c:v>79.171034267903593</c:v>
                </c:pt>
                <c:pt idx="11">
                  <c:v>90.830302787026383</c:v>
                </c:pt>
                <c:pt idx="12">
                  <c:v>102.98080154920397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C7-4836-9DC1-3130A10FA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2805696"/>
        <c:axId val="1262806528"/>
      </c:lineChart>
      <c:catAx>
        <c:axId val="126280569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/>
                  <a:t>Model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6528"/>
        <c:crosses val="autoZero"/>
        <c:auto val="1"/>
        <c:lblAlgn val="ctr"/>
        <c:lblOffset val="100"/>
        <c:noMultiLvlLbl val="0"/>
      </c:catAx>
      <c:valAx>
        <c:axId val="1262806528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000" b="1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000" b="1" i="0" u="none" strike="noStrike" baseline="0">
                    <a:effectLst/>
                  </a:rPr>
                  <a:t>NMOG+NO</a:t>
                </a:r>
                <a:r>
                  <a:rPr lang="en-US" sz="2000" b="1" i="0" u="none" strike="noStrike" baseline="-25000">
                    <a:effectLst/>
                  </a:rPr>
                  <a:t>X</a:t>
                </a:r>
                <a:r>
                  <a:rPr lang="en-US" sz="2000" b="1" i="0" u="none" strike="noStrike" baseline="0">
                    <a:effectLst/>
                  </a:rPr>
                  <a:t> - Tons</a:t>
                </a:r>
                <a:r>
                  <a:rPr lang="en-US" sz="2000"/>
                  <a:t>/year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000" b="1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chemeClr val="accent5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628056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42862</xdr:colOff>
      <xdr:row>35</xdr:row>
      <xdr:rowOff>47625</xdr:rowOff>
    </xdr:from>
    <xdr:to>
      <xdr:col>23</xdr:col>
      <xdr:colOff>376237</xdr:colOff>
      <xdr:row>69</xdr:row>
      <xdr:rowOff>123825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2F2903B3-5F59-4140-9C7B-83373D661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95249</xdr:colOff>
      <xdr:row>70</xdr:row>
      <xdr:rowOff>23812</xdr:rowOff>
    </xdr:from>
    <xdr:to>
      <xdr:col>23</xdr:col>
      <xdr:colOff>428624</xdr:colOff>
      <xdr:row>104</xdr:row>
      <xdr:rowOff>100012</xdr:rowOff>
    </xdr:to>
    <xdr:graphicFrame macro="">
      <xdr:nvGraphicFramePr>
        <xdr:cNvPr id="19" name="Chart 18">
          <a:extLst>
            <a:ext uri="{FF2B5EF4-FFF2-40B4-BE49-F238E27FC236}">
              <a16:creationId xmlns:a16="http://schemas.microsoft.com/office/drawing/2014/main" id="{84CD16F8-1DAF-456D-AAA6-875624D14D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47625</xdr:colOff>
      <xdr:row>0</xdr:row>
      <xdr:rowOff>119062</xdr:rowOff>
    </xdr:from>
    <xdr:to>
      <xdr:col>23</xdr:col>
      <xdr:colOff>381000</xdr:colOff>
      <xdr:row>35</xdr:row>
      <xdr:rowOff>4762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53D72EDE-1DD7-4D37-8DBD-5011C7DF2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0</xdr:colOff>
      <xdr:row>0</xdr:row>
      <xdr:rowOff>119063</xdr:rowOff>
    </xdr:from>
    <xdr:to>
      <xdr:col>43</xdr:col>
      <xdr:colOff>323850</xdr:colOff>
      <xdr:row>35</xdr:row>
      <xdr:rowOff>4763</xdr:rowOff>
    </xdr:to>
    <xdr:graphicFrame macro="">
      <xdr:nvGraphicFramePr>
        <xdr:cNvPr id="21" name="Chart 20">
          <a:extLst>
            <a:ext uri="{FF2B5EF4-FFF2-40B4-BE49-F238E27FC236}">
              <a16:creationId xmlns:a16="http://schemas.microsoft.com/office/drawing/2014/main" id="{05F1898B-B123-47D7-B597-79620A1744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247650</xdr:colOff>
      <xdr:row>0</xdr:row>
      <xdr:rowOff>0</xdr:rowOff>
    </xdr:from>
    <xdr:to>
      <xdr:col>62</xdr:col>
      <xdr:colOff>571500</xdr:colOff>
      <xdr:row>34</xdr:row>
      <xdr:rowOff>76200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A148B04F-88A2-4B0B-A9BD-0B3E9CD65B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476250</xdr:colOff>
      <xdr:row>36</xdr:row>
      <xdr:rowOff>19050</xdr:rowOff>
    </xdr:from>
    <xdr:to>
      <xdr:col>43</xdr:col>
      <xdr:colOff>190500</xdr:colOff>
      <xdr:row>70</xdr:row>
      <xdr:rowOff>95250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BD9A4544-94B4-4595-BDE0-F92E914FE2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</xdr:col>
      <xdr:colOff>476250</xdr:colOff>
      <xdr:row>70</xdr:row>
      <xdr:rowOff>171450</xdr:rowOff>
    </xdr:from>
    <xdr:to>
      <xdr:col>43</xdr:col>
      <xdr:colOff>190500</xdr:colOff>
      <xdr:row>105</xdr:row>
      <xdr:rowOff>57150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846905A2-26FF-429A-9987-AE641B37F6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209550</xdr:colOff>
      <xdr:row>36</xdr:row>
      <xdr:rowOff>0</xdr:rowOff>
    </xdr:from>
    <xdr:to>
      <xdr:col>62</xdr:col>
      <xdr:colOff>533400</xdr:colOff>
      <xdr:row>70</xdr:row>
      <xdr:rowOff>76200</xdr:rowOff>
    </xdr:to>
    <xdr:graphicFrame macro="">
      <xdr:nvGraphicFramePr>
        <xdr:cNvPr id="5" name="Chart 27">
          <a:extLst>
            <a:ext uri="{FF2B5EF4-FFF2-40B4-BE49-F238E27FC236}">
              <a16:creationId xmlns:a16="http://schemas.microsoft.com/office/drawing/2014/main" id="{43C27485-533B-414D-B473-A686B074AA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76200</xdr:colOff>
      <xdr:row>70</xdr:row>
      <xdr:rowOff>114300</xdr:rowOff>
    </xdr:from>
    <xdr:to>
      <xdr:col>62</xdr:col>
      <xdr:colOff>400050</xdr:colOff>
      <xdr:row>105</xdr:row>
      <xdr:rowOff>0</xdr:rowOff>
    </xdr:to>
    <xdr:graphicFrame macro="">
      <xdr:nvGraphicFramePr>
        <xdr:cNvPr id="4" name="Chart 28">
          <a:extLst>
            <a:ext uri="{FF2B5EF4-FFF2-40B4-BE49-F238E27FC236}">
              <a16:creationId xmlns:a16="http://schemas.microsoft.com/office/drawing/2014/main" id="{02351A9C-3C25-4E87-9E8E-19DDC7057E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69813-E6A6-4AE6-A09E-C42D6625972C}">
  <dimension ref="A1:B84"/>
  <sheetViews>
    <sheetView tabSelected="1" zoomScale="120" zoomScaleNormal="120" workbookViewId="0"/>
  </sheetViews>
  <sheetFormatPr defaultRowHeight="15" x14ac:dyDescent="0.25"/>
  <cols>
    <col min="1" max="1" width="23" customWidth="1"/>
  </cols>
  <sheetData>
    <row r="1" spans="1:2" ht="15.75" x14ac:dyDescent="0.25">
      <c r="A1" s="67" t="s">
        <v>0</v>
      </c>
    </row>
    <row r="2" spans="1:2" x14ac:dyDescent="0.25">
      <c r="A2" t="s">
        <v>1</v>
      </c>
    </row>
    <row r="3" spans="1:2" x14ac:dyDescent="0.25">
      <c r="A3" t="s">
        <v>2</v>
      </c>
    </row>
    <row r="4" spans="1:2" x14ac:dyDescent="0.25">
      <c r="A4" t="s">
        <v>3</v>
      </c>
    </row>
    <row r="5" spans="1:2" x14ac:dyDescent="0.25">
      <c r="A5" t="s">
        <v>234</v>
      </c>
    </row>
    <row r="7" spans="1:2" x14ac:dyDescent="0.25">
      <c r="A7" s="62" t="s">
        <v>4</v>
      </c>
    </row>
    <row r="8" spans="1:2" x14ac:dyDescent="0.25">
      <c r="A8" t="s">
        <v>5</v>
      </c>
    </row>
    <row r="9" spans="1:2" x14ac:dyDescent="0.25">
      <c r="A9" t="s">
        <v>227</v>
      </c>
    </row>
    <row r="10" spans="1:2" x14ac:dyDescent="0.25">
      <c r="A10" s="74" t="s">
        <v>6</v>
      </c>
      <c r="B10" t="s">
        <v>7</v>
      </c>
    </row>
    <row r="11" spans="1:2" s="75" customFormat="1" ht="30" x14ac:dyDescent="0.25">
      <c r="A11" s="76" t="s">
        <v>8</v>
      </c>
      <c r="B11" s="75" t="s">
        <v>9</v>
      </c>
    </row>
    <row r="12" spans="1:2" s="75" customFormat="1" ht="30" x14ac:dyDescent="0.25">
      <c r="A12" s="76" t="s">
        <v>10</v>
      </c>
      <c r="B12" s="75" t="s">
        <v>11</v>
      </c>
    </row>
    <row r="13" spans="1:2" x14ac:dyDescent="0.25">
      <c r="A13" s="74" t="s">
        <v>12</v>
      </c>
      <c r="B13" s="75" t="s">
        <v>13</v>
      </c>
    </row>
    <row r="14" spans="1:2" x14ac:dyDescent="0.25">
      <c r="A14" s="74"/>
      <c r="B14" s="75"/>
    </row>
    <row r="16" spans="1:2" ht="15.75" x14ac:dyDescent="0.25">
      <c r="A16" s="67" t="s">
        <v>14</v>
      </c>
    </row>
    <row r="17" spans="1:2" x14ac:dyDescent="0.25">
      <c r="A17" t="s">
        <v>15</v>
      </c>
    </row>
    <row r="19" spans="1:2" x14ac:dyDescent="0.25">
      <c r="A19" t="s">
        <v>16</v>
      </c>
      <c r="B19" t="s">
        <v>17</v>
      </c>
    </row>
    <row r="20" spans="1:2" x14ac:dyDescent="0.25">
      <c r="A20" t="s">
        <v>18</v>
      </c>
      <c r="B20" t="s">
        <v>19</v>
      </c>
    </row>
    <row r="21" spans="1:2" x14ac:dyDescent="0.25">
      <c r="A21" t="s">
        <v>20</v>
      </c>
      <c r="B21" t="s">
        <v>21</v>
      </c>
    </row>
    <row r="22" spans="1:2" x14ac:dyDescent="0.25">
      <c r="A22" t="s">
        <v>22</v>
      </c>
      <c r="B22" t="s">
        <v>23</v>
      </c>
    </row>
    <row r="23" spans="1:2" x14ac:dyDescent="0.25">
      <c r="A23" t="s">
        <v>24</v>
      </c>
      <c r="B23" t="s">
        <v>228</v>
      </c>
    </row>
    <row r="24" spans="1:2" x14ac:dyDescent="0.25">
      <c r="A24" t="s">
        <v>25</v>
      </c>
      <c r="B24" t="s">
        <v>26</v>
      </c>
    </row>
    <row r="25" spans="1:2" x14ac:dyDescent="0.25">
      <c r="A25" t="s">
        <v>27</v>
      </c>
      <c r="B25" t="s">
        <v>28</v>
      </c>
    </row>
    <row r="26" spans="1:2" x14ac:dyDescent="0.25">
      <c r="A26" t="s">
        <v>29</v>
      </c>
      <c r="B26" t="s">
        <v>30</v>
      </c>
    </row>
    <row r="27" spans="1:2" x14ac:dyDescent="0.25">
      <c r="A27" t="s">
        <v>31</v>
      </c>
      <c r="B27" t="s">
        <v>32</v>
      </c>
    </row>
    <row r="28" spans="1:2" x14ac:dyDescent="0.25">
      <c r="A28" t="s">
        <v>33</v>
      </c>
      <c r="B28" t="s">
        <v>34</v>
      </c>
    </row>
    <row r="29" spans="1:2" x14ac:dyDescent="0.25">
      <c r="A29" t="s">
        <v>35</v>
      </c>
      <c r="B29" t="s">
        <v>36</v>
      </c>
    </row>
    <row r="30" spans="1:2" x14ac:dyDescent="0.25">
      <c r="A30" t="s">
        <v>37</v>
      </c>
      <c r="B30" t="s">
        <v>229</v>
      </c>
    </row>
    <row r="31" spans="1:2" x14ac:dyDescent="0.25">
      <c r="A31" t="s">
        <v>38</v>
      </c>
      <c r="B31" t="s">
        <v>39</v>
      </c>
    </row>
    <row r="32" spans="1:2" x14ac:dyDescent="0.25">
      <c r="A32" t="s">
        <v>40</v>
      </c>
      <c r="B32" t="s">
        <v>41</v>
      </c>
    </row>
    <row r="33" spans="1:2" x14ac:dyDescent="0.25">
      <c r="A33" t="s">
        <v>42</v>
      </c>
      <c r="B33" t="s">
        <v>43</v>
      </c>
    </row>
    <row r="35" spans="1:2" x14ac:dyDescent="0.25">
      <c r="A35" s="62" t="s">
        <v>44</v>
      </c>
    </row>
    <row r="36" spans="1:2" x14ac:dyDescent="0.25">
      <c r="A36" t="s">
        <v>45</v>
      </c>
      <c r="B36" t="s">
        <v>46</v>
      </c>
    </row>
    <row r="37" spans="1:2" x14ac:dyDescent="0.25">
      <c r="A37" t="s">
        <v>47</v>
      </c>
      <c r="B37" t="s">
        <v>48</v>
      </c>
    </row>
    <row r="38" spans="1:2" x14ac:dyDescent="0.25">
      <c r="A38" t="s">
        <v>49</v>
      </c>
      <c r="B38" t="s">
        <v>50</v>
      </c>
    </row>
    <row r="39" spans="1:2" x14ac:dyDescent="0.25">
      <c r="A39" t="s">
        <v>51</v>
      </c>
      <c r="B39" t="s">
        <v>52</v>
      </c>
    </row>
    <row r="40" spans="1:2" x14ac:dyDescent="0.25">
      <c r="A40" t="s">
        <v>53</v>
      </c>
      <c r="B40" t="s">
        <v>54</v>
      </c>
    </row>
    <row r="41" spans="1:2" x14ac:dyDescent="0.25">
      <c r="A41" t="s">
        <v>55</v>
      </c>
      <c r="B41" t="s">
        <v>56</v>
      </c>
    </row>
    <row r="42" spans="1:2" x14ac:dyDescent="0.25">
      <c r="A42" t="s">
        <v>57</v>
      </c>
      <c r="B42" t="s">
        <v>58</v>
      </c>
    </row>
    <row r="43" spans="1:2" x14ac:dyDescent="0.25">
      <c r="A43" t="s">
        <v>59</v>
      </c>
      <c r="B43" t="s">
        <v>60</v>
      </c>
    </row>
    <row r="44" spans="1:2" x14ac:dyDescent="0.25">
      <c r="A44" t="s">
        <v>61</v>
      </c>
      <c r="B44" t="s">
        <v>62</v>
      </c>
    </row>
    <row r="45" spans="1:2" x14ac:dyDescent="0.25">
      <c r="A45" t="s">
        <v>63</v>
      </c>
      <c r="B45" t="s">
        <v>64</v>
      </c>
    </row>
    <row r="46" spans="1:2" x14ac:dyDescent="0.25">
      <c r="A46" t="s">
        <v>65</v>
      </c>
      <c r="B46" t="s">
        <v>66</v>
      </c>
    </row>
    <row r="48" spans="1:2" x14ac:dyDescent="0.25">
      <c r="A48" s="62"/>
    </row>
    <row r="53" spans="1:2" x14ac:dyDescent="0.25">
      <c r="A53" s="62" t="s">
        <v>67</v>
      </c>
    </row>
    <row r="54" spans="1:2" x14ac:dyDescent="0.25">
      <c r="A54" t="s">
        <v>68</v>
      </c>
      <c r="B54" t="s">
        <v>230</v>
      </c>
    </row>
    <row r="55" spans="1:2" x14ac:dyDescent="0.25">
      <c r="A55" t="s">
        <v>69</v>
      </c>
      <c r="B55" t="s">
        <v>70</v>
      </c>
    </row>
    <row r="56" spans="1:2" x14ac:dyDescent="0.25">
      <c r="A56" t="s">
        <v>71</v>
      </c>
      <c r="B56" t="s">
        <v>72</v>
      </c>
    </row>
    <row r="57" spans="1:2" x14ac:dyDescent="0.25">
      <c r="A57" t="s">
        <v>73</v>
      </c>
      <c r="B57" t="s">
        <v>74</v>
      </c>
    </row>
    <row r="58" spans="1:2" x14ac:dyDescent="0.25">
      <c r="A58" t="s">
        <v>75</v>
      </c>
      <c r="B58" t="s">
        <v>76</v>
      </c>
    </row>
    <row r="59" spans="1:2" x14ac:dyDescent="0.25">
      <c r="A59" t="s">
        <v>77</v>
      </c>
      <c r="B59" t="s">
        <v>78</v>
      </c>
    </row>
    <row r="60" spans="1:2" x14ac:dyDescent="0.25">
      <c r="A60" t="s">
        <v>79</v>
      </c>
      <c r="B60" t="s">
        <v>80</v>
      </c>
    </row>
    <row r="61" spans="1:2" x14ac:dyDescent="0.25">
      <c r="A61" t="s">
        <v>81</v>
      </c>
      <c r="B61" t="s">
        <v>82</v>
      </c>
    </row>
    <row r="62" spans="1:2" x14ac:dyDescent="0.25">
      <c r="A62" t="s">
        <v>83</v>
      </c>
      <c r="B62" t="s">
        <v>84</v>
      </c>
    </row>
    <row r="63" spans="1:2" x14ac:dyDescent="0.25">
      <c r="A63" t="s">
        <v>85</v>
      </c>
      <c r="B63" t="s">
        <v>86</v>
      </c>
    </row>
    <row r="64" spans="1:2" x14ac:dyDescent="0.25">
      <c r="A64" t="s">
        <v>87</v>
      </c>
      <c r="B64" t="s">
        <v>88</v>
      </c>
    </row>
    <row r="65" spans="1:2" x14ac:dyDescent="0.25">
      <c r="A65" t="s">
        <v>89</v>
      </c>
      <c r="B65" t="s">
        <v>90</v>
      </c>
    </row>
    <row r="66" spans="1:2" x14ac:dyDescent="0.25">
      <c r="A66" t="s">
        <v>91</v>
      </c>
      <c r="B66" t="s">
        <v>92</v>
      </c>
    </row>
    <row r="67" spans="1:2" x14ac:dyDescent="0.25">
      <c r="A67" t="s">
        <v>93</v>
      </c>
      <c r="B67" t="s">
        <v>94</v>
      </c>
    </row>
    <row r="68" spans="1:2" x14ac:dyDescent="0.25">
      <c r="A68" t="s">
        <v>192</v>
      </c>
      <c r="B68" t="s">
        <v>95</v>
      </c>
    </row>
    <row r="69" spans="1:2" x14ac:dyDescent="0.25">
      <c r="A69" t="s">
        <v>96</v>
      </c>
      <c r="B69" t="s">
        <v>97</v>
      </c>
    </row>
    <row r="70" spans="1:2" x14ac:dyDescent="0.25">
      <c r="A70" t="s">
        <v>98</v>
      </c>
      <c r="B70" t="s">
        <v>99</v>
      </c>
    </row>
    <row r="71" spans="1:2" x14ac:dyDescent="0.25">
      <c r="A71" t="s">
        <v>100</v>
      </c>
      <c r="B71" t="s">
        <v>101</v>
      </c>
    </row>
    <row r="72" spans="1:2" x14ac:dyDescent="0.25">
      <c r="A72" t="s">
        <v>102</v>
      </c>
      <c r="B72" t="s">
        <v>103</v>
      </c>
    </row>
    <row r="73" spans="1:2" x14ac:dyDescent="0.25">
      <c r="A73" t="s">
        <v>104</v>
      </c>
      <c r="B73" t="s">
        <v>105</v>
      </c>
    </row>
    <row r="74" spans="1:2" x14ac:dyDescent="0.25">
      <c r="A74" t="s">
        <v>106</v>
      </c>
      <c r="B74" t="s">
        <v>107</v>
      </c>
    </row>
    <row r="75" spans="1:2" x14ac:dyDescent="0.25">
      <c r="A75" t="s">
        <v>108</v>
      </c>
      <c r="B75" t="s">
        <v>109</v>
      </c>
    </row>
    <row r="76" spans="1:2" x14ac:dyDescent="0.25">
      <c r="A76" t="s">
        <v>110</v>
      </c>
      <c r="B76" t="s">
        <v>111</v>
      </c>
    </row>
    <row r="77" spans="1:2" x14ac:dyDescent="0.25">
      <c r="A77" t="s">
        <v>112</v>
      </c>
      <c r="B77" t="s">
        <v>113</v>
      </c>
    </row>
    <row r="79" spans="1:2" x14ac:dyDescent="0.25">
      <c r="A79" t="s">
        <v>114</v>
      </c>
      <c r="B79" t="s">
        <v>115</v>
      </c>
    </row>
    <row r="80" spans="1:2" x14ac:dyDescent="0.25">
      <c r="A80" t="s">
        <v>116</v>
      </c>
      <c r="B80" t="s">
        <v>231</v>
      </c>
    </row>
    <row r="81" spans="1:2" x14ac:dyDescent="0.25">
      <c r="A81" t="s">
        <v>117</v>
      </c>
      <c r="B81" t="s">
        <v>118</v>
      </c>
    </row>
    <row r="82" spans="1:2" x14ac:dyDescent="0.25">
      <c r="A82" t="s">
        <v>119</v>
      </c>
      <c r="B82" t="s">
        <v>232</v>
      </c>
    </row>
    <row r="83" spans="1:2" x14ac:dyDescent="0.25">
      <c r="A83" t="s">
        <v>120</v>
      </c>
      <c r="B83" t="s">
        <v>233</v>
      </c>
    </row>
    <row r="84" spans="1:2" x14ac:dyDescent="0.25">
      <c r="A84" t="s">
        <v>121</v>
      </c>
      <c r="B84" t="s">
        <v>122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8FA9B-4E74-4444-B56B-00013A594E96}">
  <dimension ref="A2:R18"/>
  <sheetViews>
    <sheetView zoomScaleNormal="100" workbookViewId="0"/>
  </sheetViews>
  <sheetFormatPr defaultRowHeight="15" x14ac:dyDescent="0.25"/>
  <cols>
    <col min="2" max="2" width="16.28515625" customWidth="1"/>
    <col min="3" max="3" width="12.85546875" customWidth="1"/>
    <col min="6" max="6" width="12" customWidth="1"/>
    <col min="7" max="7" width="11.85546875" customWidth="1"/>
    <col min="8" max="8" width="16.5703125" customWidth="1"/>
    <col min="9" max="9" width="13.7109375" bestFit="1" customWidth="1"/>
    <col min="10" max="10" width="14.140625" bestFit="1" customWidth="1"/>
    <col min="11" max="11" width="15.7109375" bestFit="1" customWidth="1"/>
    <col min="12" max="12" width="10.5703125" customWidth="1"/>
    <col min="13" max="16" width="12.140625" customWidth="1"/>
    <col min="17" max="17" width="11.7109375" customWidth="1"/>
    <col min="18" max="18" width="12.140625" customWidth="1"/>
  </cols>
  <sheetData>
    <row r="2" spans="1:18" ht="21.75" customHeight="1" x14ac:dyDescent="0.25">
      <c r="B2" s="62" t="s">
        <v>123</v>
      </c>
      <c r="D2" t="s">
        <v>124</v>
      </c>
    </row>
    <row r="3" spans="1:18" ht="75" x14ac:dyDescent="0.25">
      <c r="A3" s="5" t="s">
        <v>125</v>
      </c>
      <c r="B3" s="98" t="s">
        <v>126</v>
      </c>
      <c r="C3" s="99" t="s">
        <v>127</v>
      </c>
      <c r="D3" s="99" t="s">
        <v>128</v>
      </c>
      <c r="E3" s="99" t="s">
        <v>129</v>
      </c>
      <c r="F3" s="99" t="s">
        <v>130</v>
      </c>
      <c r="G3" s="99" t="s">
        <v>131</v>
      </c>
      <c r="H3" s="99" t="s">
        <v>132</v>
      </c>
      <c r="I3" s="99" t="s">
        <v>133</v>
      </c>
      <c r="J3" s="99" t="s">
        <v>134</v>
      </c>
      <c r="K3" s="99" t="s">
        <v>135</v>
      </c>
      <c r="L3" s="99" t="s">
        <v>136</v>
      </c>
      <c r="M3" s="99" t="s">
        <v>137</v>
      </c>
      <c r="N3" s="99" t="s">
        <v>138</v>
      </c>
      <c r="O3" s="99" t="s">
        <v>139</v>
      </c>
      <c r="P3" s="99" t="s">
        <v>140</v>
      </c>
      <c r="Q3" s="99" t="s">
        <v>141</v>
      </c>
      <c r="R3" s="100" t="s">
        <v>142</v>
      </c>
    </row>
    <row r="4" spans="1:18" ht="30" x14ac:dyDescent="0.25">
      <c r="A4" s="11" t="s">
        <v>143</v>
      </c>
      <c r="B4" s="101" t="s">
        <v>16</v>
      </c>
      <c r="C4" s="12"/>
      <c r="D4" s="12"/>
      <c r="E4" s="12" t="s">
        <v>18</v>
      </c>
      <c r="F4" s="12" t="s">
        <v>20</v>
      </c>
      <c r="G4" s="12" t="s">
        <v>144</v>
      </c>
      <c r="H4" s="12" t="s">
        <v>24</v>
      </c>
      <c r="I4" s="3" t="s">
        <v>25</v>
      </c>
      <c r="J4" s="3" t="s">
        <v>27</v>
      </c>
      <c r="K4" s="3" t="s">
        <v>145</v>
      </c>
      <c r="L4" s="3" t="s">
        <v>31</v>
      </c>
      <c r="M4" s="3" t="s">
        <v>33</v>
      </c>
      <c r="N4" s="3" t="s">
        <v>35</v>
      </c>
      <c r="O4" s="3" t="s">
        <v>37</v>
      </c>
      <c r="P4" s="3" t="s">
        <v>38</v>
      </c>
      <c r="Q4" s="12" t="s">
        <v>40</v>
      </c>
      <c r="R4" s="102" t="s">
        <v>42</v>
      </c>
    </row>
    <row r="5" spans="1:18" ht="24.75" x14ac:dyDescent="0.25">
      <c r="A5" s="6"/>
      <c r="B5" s="103"/>
      <c r="C5" s="17"/>
      <c r="D5" s="17"/>
      <c r="E5" s="17"/>
      <c r="F5" s="17" t="s">
        <v>146</v>
      </c>
      <c r="G5" s="17" t="s">
        <v>146</v>
      </c>
      <c r="H5" s="17" t="s">
        <v>147</v>
      </c>
      <c r="I5" s="17" t="s">
        <v>148</v>
      </c>
      <c r="J5" s="17" t="s">
        <v>149</v>
      </c>
      <c r="K5" s="17" t="s">
        <v>149</v>
      </c>
      <c r="L5" s="17" t="s">
        <v>150</v>
      </c>
      <c r="M5" s="17" t="s">
        <v>150</v>
      </c>
      <c r="N5" s="17" t="s">
        <v>151</v>
      </c>
      <c r="O5" s="17" t="s">
        <v>151</v>
      </c>
      <c r="P5" s="17" t="s">
        <v>151</v>
      </c>
      <c r="Q5" s="17" t="s">
        <v>152</v>
      </c>
      <c r="R5" s="104" t="s">
        <v>148</v>
      </c>
    </row>
    <row r="6" spans="1:18" x14ac:dyDescent="0.25">
      <c r="A6" s="7">
        <v>2023</v>
      </c>
      <c r="B6" s="105">
        <v>0</v>
      </c>
      <c r="C6" s="78">
        <v>0.12</v>
      </c>
      <c r="D6" s="78">
        <v>0.05</v>
      </c>
      <c r="E6" s="87">
        <f t="shared" ref="E6:E18" si="0">D6/(C6+D6)</f>
        <v>0.29411764705882359</v>
      </c>
      <c r="F6" s="79">
        <v>177</v>
      </c>
      <c r="G6" s="79">
        <v>255</v>
      </c>
      <c r="H6" s="80">
        <v>6.3E-2</v>
      </c>
      <c r="I6" s="78">
        <v>0.81499999999999995</v>
      </c>
      <c r="J6" s="81">
        <v>680.61926162732755</v>
      </c>
      <c r="K6" s="82">
        <v>717.85386871628884</v>
      </c>
      <c r="L6" s="82">
        <v>2.95</v>
      </c>
      <c r="M6" s="82">
        <v>2.8</v>
      </c>
      <c r="N6" s="82">
        <v>104465.65660704143</v>
      </c>
      <c r="O6" s="82">
        <v>10004.220777890552</v>
      </c>
      <c r="P6" s="82">
        <v>3070.1362658646281</v>
      </c>
      <c r="Q6" s="82">
        <v>11500</v>
      </c>
      <c r="R6" s="106">
        <v>0.75</v>
      </c>
    </row>
    <row r="7" spans="1:18" x14ac:dyDescent="0.25">
      <c r="A7" s="7">
        <v>2024</v>
      </c>
      <c r="B7" s="105">
        <v>0</v>
      </c>
      <c r="C7" s="78">
        <v>0.14000000000000001</v>
      </c>
      <c r="D7" s="78">
        <v>5.5E-2</v>
      </c>
      <c r="E7" s="87">
        <f t="shared" si="0"/>
        <v>0.28205128205128205</v>
      </c>
      <c r="F7" s="79">
        <v>174</v>
      </c>
      <c r="G7" s="79">
        <v>251</v>
      </c>
      <c r="H7" s="84">
        <v>5.7000000000000002E-2</v>
      </c>
      <c r="I7" s="78">
        <v>0.81499999999999995</v>
      </c>
      <c r="J7" s="81">
        <v>569.67935731562568</v>
      </c>
      <c r="K7" s="82">
        <v>714.27406972009442</v>
      </c>
      <c r="L7" s="82">
        <v>2.95</v>
      </c>
      <c r="M7" s="82">
        <v>2.8</v>
      </c>
      <c r="N7" s="82">
        <v>105284.77908243553</v>
      </c>
      <c r="O7" s="82">
        <v>10082.664568454182</v>
      </c>
      <c r="P7" s="82">
        <v>3094.2094177460358</v>
      </c>
      <c r="Q7" s="82">
        <v>11500</v>
      </c>
      <c r="R7" s="106">
        <v>0.75</v>
      </c>
    </row>
    <row r="8" spans="1:18" x14ac:dyDescent="0.25">
      <c r="A8" s="7">
        <v>2025</v>
      </c>
      <c r="B8" s="105">
        <v>0.22</v>
      </c>
      <c r="C8" s="78">
        <v>0.16</v>
      </c>
      <c r="D8" s="78">
        <v>0.06</v>
      </c>
      <c r="E8" s="87">
        <f t="shared" si="0"/>
        <v>0.27272727272727271</v>
      </c>
      <c r="F8" s="79">
        <v>171</v>
      </c>
      <c r="G8" s="79">
        <v>247</v>
      </c>
      <c r="H8" s="84">
        <v>0.05</v>
      </c>
      <c r="I8" s="78">
        <v>0.81499999999999995</v>
      </c>
      <c r="J8" s="81">
        <v>588.36412036505203</v>
      </c>
      <c r="K8" s="82">
        <v>692.58061542632754</v>
      </c>
      <c r="L8" s="82">
        <v>2.95</v>
      </c>
      <c r="M8" s="82">
        <v>2.8</v>
      </c>
      <c r="N8" s="82">
        <v>107440.97240974737</v>
      </c>
      <c r="O8" s="82">
        <v>10289.153808907471</v>
      </c>
      <c r="P8" s="82">
        <v>3157.577681971823</v>
      </c>
      <c r="Q8" s="82">
        <v>11500</v>
      </c>
      <c r="R8" s="106">
        <v>0.75</v>
      </c>
    </row>
    <row r="9" spans="1:18" x14ac:dyDescent="0.25">
      <c r="A9" s="7">
        <v>2026</v>
      </c>
      <c r="B9" s="105">
        <v>0.22</v>
      </c>
      <c r="C9" s="78">
        <v>0.16</v>
      </c>
      <c r="D9" s="78">
        <v>0.06</v>
      </c>
      <c r="E9" s="87">
        <f t="shared" si="0"/>
        <v>0.27272727272727271</v>
      </c>
      <c r="F9" s="79">
        <v>168</v>
      </c>
      <c r="G9" s="79">
        <v>243</v>
      </c>
      <c r="H9" s="84">
        <v>0.05</v>
      </c>
      <c r="I9" s="78">
        <v>0.81499999999999995</v>
      </c>
      <c r="J9" s="81">
        <v>588.56695791516631</v>
      </c>
      <c r="K9" s="82">
        <v>689.53877570611837</v>
      </c>
      <c r="L9" s="82">
        <v>2.95</v>
      </c>
      <c r="M9" s="82">
        <v>2.8</v>
      </c>
      <c r="N9" s="82">
        <v>109931.21134524596</v>
      </c>
      <c r="O9" s="82">
        <v>10527.633141824886</v>
      </c>
      <c r="P9" s="82">
        <v>3230.763196856406</v>
      </c>
      <c r="Q9" s="82">
        <v>11500</v>
      </c>
      <c r="R9" s="106">
        <v>0.75</v>
      </c>
    </row>
    <row r="10" spans="1:18" x14ac:dyDescent="0.25">
      <c r="A10" s="7">
        <v>2027</v>
      </c>
      <c r="B10" s="105">
        <v>0.22</v>
      </c>
      <c r="C10" s="78">
        <v>0.16</v>
      </c>
      <c r="D10" s="78">
        <v>0.06</v>
      </c>
      <c r="E10" s="87">
        <f t="shared" si="0"/>
        <v>0.27272727272727271</v>
      </c>
      <c r="F10" s="79">
        <v>168</v>
      </c>
      <c r="G10" s="79">
        <v>243</v>
      </c>
      <c r="H10" s="84">
        <v>0.05</v>
      </c>
      <c r="I10" s="78">
        <v>0.81499999999999995</v>
      </c>
      <c r="J10" s="81">
        <v>492.99456622926147</v>
      </c>
      <c r="K10" s="82">
        <v>686.19738394774402</v>
      </c>
      <c r="L10" s="82">
        <v>2.95</v>
      </c>
      <c r="M10" s="82">
        <v>2.8</v>
      </c>
      <c r="N10" s="82">
        <v>110089.34995763225</v>
      </c>
      <c r="O10" s="82">
        <v>10542.777387725457</v>
      </c>
      <c r="P10" s="82">
        <v>3235.4107250938146</v>
      </c>
      <c r="Q10" s="82">
        <v>11500</v>
      </c>
      <c r="R10" s="106">
        <v>0.75</v>
      </c>
    </row>
    <row r="11" spans="1:18" x14ac:dyDescent="0.25">
      <c r="A11" s="7">
        <v>2028</v>
      </c>
      <c r="B11" s="105">
        <v>0.22</v>
      </c>
      <c r="C11" s="78">
        <v>0.16</v>
      </c>
      <c r="D11" s="78">
        <v>0.06</v>
      </c>
      <c r="E11" s="87">
        <f t="shared" si="0"/>
        <v>0.27272727272727271</v>
      </c>
      <c r="F11" s="79">
        <v>168</v>
      </c>
      <c r="G11" s="79">
        <v>243</v>
      </c>
      <c r="H11" s="84">
        <v>0.05</v>
      </c>
      <c r="I11" s="78">
        <v>0.81499999999999995</v>
      </c>
      <c r="J11" s="81">
        <v>492.26010263070771</v>
      </c>
      <c r="K11" s="82">
        <v>661.64619055247192</v>
      </c>
      <c r="L11" s="82">
        <v>2.95</v>
      </c>
      <c r="M11" s="82">
        <v>2.8</v>
      </c>
      <c r="N11" s="82">
        <v>109049.89952790219</v>
      </c>
      <c r="O11" s="82">
        <v>10443.233748940806</v>
      </c>
      <c r="P11" s="82">
        <v>3204.8623653310738</v>
      </c>
      <c r="Q11" s="82">
        <v>11500</v>
      </c>
      <c r="R11" s="106">
        <v>0.75</v>
      </c>
    </row>
    <row r="12" spans="1:18" x14ac:dyDescent="0.25">
      <c r="A12" s="7">
        <v>2029</v>
      </c>
      <c r="B12" s="105">
        <v>0.22</v>
      </c>
      <c r="C12" s="78">
        <v>0.16</v>
      </c>
      <c r="D12" s="78">
        <v>0.06</v>
      </c>
      <c r="E12" s="87">
        <f t="shared" si="0"/>
        <v>0.27272727272727271</v>
      </c>
      <c r="F12" s="79">
        <v>168</v>
      </c>
      <c r="G12" s="79">
        <v>243</v>
      </c>
      <c r="H12" s="84">
        <v>0.05</v>
      </c>
      <c r="I12" s="78">
        <v>0.81499999999999995</v>
      </c>
      <c r="J12" s="81">
        <v>490.85380591424473</v>
      </c>
      <c r="K12" s="82">
        <v>657.54237995417645</v>
      </c>
      <c r="L12" s="82">
        <v>2.95</v>
      </c>
      <c r="M12" s="82">
        <v>2.8</v>
      </c>
      <c r="N12" s="82">
        <v>109919.66189602674</v>
      </c>
      <c r="O12" s="82">
        <v>10526.527101393945</v>
      </c>
      <c r="P12" s="82">
        <v>3230.4237706368199</v>
      </c>
      <c r="Q12" s="82">
        <v>11500</v>
      </c>
      <c r="R12" s="106">
        <v>0.75</v>
      </c>
    </row>
    <row r="13" spans="1:18" x14ac:dyDescent="0.25">
      <c r="A13" s="7">
        <v>2030</v>
      </c>
      <c r="B13" s="105">
        <v>0.22</v>
      </c>
      <c r="C13" s="78">
        <v>0.16</v>
      </c>
      <c r="D13" s="78">
        <v>0.06</v>
      </c>
      <c r="E13" s="87">
        <f t="shared" si="0"/>
        <v>0.27272727272727271</v>
      </c>
      <c r="F13" s="79">
        <v>168</v>
      </c>
      <c r="G13" s="79">
        <v>243</v>
      </c>
      <c r="H13" s="84">
        <v>0.05</v>
      </c>
      <c r="I13" s="78">
        <v>0.81499999999999995</v>
      </c>
      <c r="J13" s="81">
        <v>406.30559716355242</v>
      </c>
      <c r="K13" s="82">
        <v>657.14344297997525</v>
      </c>
      <c r="L13" s="82">
        <v>2.95</v>
      </c>
      <c r="M13" s="82">
        <v>2.8</v>
      </c>
      <c r="N13" s="82">
        <v>110541.55531552335</v>
      </c>
      <c r="O13" s="82">
        <v>10586.083124598437</v>
      </c>
      <c r="P13" s="82">
        <v>3248.7005670760664</v>
      </c>
      <c r="Q13" s="82">
        <v>11500</v>
      </c>
      <c r="R13" s="106">
        <v>0.75</v>
      </c>
    </row>
    <row r="14" spans="1:18" x14ac:dyDescent="0.25">
      <c r="A14" s="7">
        <v>2031</v>
      </c>
      <c r="B14" s="105">
        <v>0.22</v>
      </c>
      <c r="C14" s="78">
        <v>0.16</v>
      </c>
      <c r="D14" s="78">
        <v>0.06</v>
      </c>
      <c r="E14" s="87">
        <f t="shared" si="0"/>
        <v>0.27272727272727271</v>
      </c>
      <c r="F14" s="79">
        <v>168</v>
      </c>
      <c r="G14" s="79">
        <v>243</v>
      </c>
      <c r="H14" s="84">
        <v>0.05</v>
      </c>
      <c r="I14" s="78">
        <v>0.81499999999999995</v>
      </c>
      <c r="J14" s="81">
        <v>388.55925273495023</v>
      </c>
      <c r="K14" s="82">
        <v>651.96687151438607</v>
      </c>
      <c r="L14" s="82">
        <v>2.95</v>
      </c>
      <c r="M14" s="82">
        <v>2.8</v>
      </c>
      <c r="N14" s="82">
        <v>110929.79449312338</v>
      </c>
      <c r="O14" s="82">
        <v>10623.26309908467</v>
      </c>
      <c r="P14" s="82">
        <v>3260.1105099959959</v>
      </c>
      <c r="Q14" s="82">
        <v>11500</v>
      </c>
      <c r="R14" s="106">
        <v>0.75</v>
      </c>
    </row>
    <row r="15" spans="1:18" x14ac:dyDescent="0.25">
      <c r="A15" s="7">
        <v>2032</v>
      </c>
      <c r="B15" s="105">
        <v>0.22</v>
      </c>
      <c r="C15" s="78">
        <v>0.16</v>
      </c>
      <c r="D15" s="78">
        <v>0.06</v>
      </c>
      <c r="E15" s="87">
        <f t="shared" si="0"/>
        <v>0.27272727272727271</v>
      </c>
      <c r="F15" s="79">
        <v>168</v>
      </c>
      <c r="G15" s="79">
        <v>243</v>
      </c>
      <c r="H15" s="84">
        <v>0.05</v>
      </c>
      <c r="I15" s="78">
        <v>0.81499999999999995</v>
      </c>
      <c r="J15" s="81">
        <v>387.89588046189937</v>
      </c>
      <c r="K15" s="82">
        <v>576.81270894839702</v>
      </c>
      <c r="L15" s="82">
        <v>2.95</v>
      </c>
      <c r="M15" s="82">
        <v>2.8</v>
      </c>
      <c r="N15" s="82">
        <v>111858.19252651476</v>
      </c>
      <c r="O15" s="82">
        <v>10712.171733725661</v>
      </c>
      <c r="P15" s="82">
        <v>3287.3951561088711</v>
      </c>
      <c r="Q15" s="82">
        <v>11500</v>
      </c>
      <c r="R15" s="106">
        <v>0.75</v>
      </c>
    </row>
    <row r="16" spans="1:18" x14ac:dyDescent="0.25">
      <c r="A16" s="7">
        <v>2033</v>
      </c>
      <c r="B16" s="105">
        <v>0.22</v>
      </c>
      <c r="C16" s="78">
        <v>0.16</v>
      </c>
      <c r="D16" s="78">
        <v>0.06</v>
      </c>
      <c r="E16" s="87">
        <f t="shared" si="0"/>
        <v>0.27272727272727271</v>
      </c>
      <c r="F16" s="79">
        <v>168</v>
      </c>
      <c r="G16" s="79">
        <v>243</v>
      </c>
      <c r="H16" s="84">
        <v>0.05</v>
      </c>
      <c r="I16" s="78">
        <v>0.81499999999999995</v>
      </c>
      <c r="J16" s="81">
        <v>386.37396200920142</v>
      </c>
      <c r="K16" s="82">
        <v>607.81552604608419</v>
      </c>
      <c r="L16" s="82">
        <v>2.95</v>
      </c>
      <c r="M16" s="82">
        <v>2.8</v>
      </c>
      <c r="N16" s="82">
        <v>112224.22122484706</v>
      </c>
      <c r="O16" s="82">
        <v>10747.224707383162</v>
      </c>
      <c r="P16" s="82">
        <v>3298.1523562988277</v>
      </c>
      <c r="Q16" s="82">
        <v>11500</v>
      </c>
      <c r="R16" s="106">
        <v>0.75</v>
      </c>
    </row>
    <row r="17" spans="1:18" x14ac:dyDescent="0.25">
      <c r="A17" s="7">
        <v>2034</v>
      </c>
      <c r="B17" s="105">
        <v>0.22</v>
      </c>
      <c r="C17" s="78">
        <v>0.16</v>
      </c>
      <c r="D17" s="78">
        <v>0.06</v>
      </c>
      <c r="E17" s="87">
        <f t="shared" si="0"/>
        <v>0.27272727272727271</v>
      </c>
      <c r="F17" s="79">
        <v>168</v>
      </c>
      <c r="G17" s="79">
        <v>243</v>
      </c>
      <c r="H17" s="84">
        <v>0.05</v>
      </c>
      <c r="I17" s="78">
        <v>0.81499999999999995</v>
      </c>
      <c r="J17" s="81">
        <v>385.89241730241451</v>
      </c>
      <c r="K17" s="82">
        <v>605.82965782330234</v>
      </c>
      <c r="L17" s="82">
        <v>2.95</v>
      </c>
      <c r="M17" s="82">
        <v>2.8</v>
      </c>
      <c r="N17" s="82">
        <v>113013.13744843705</v>
      </c>
      <c r="O17" s="82">
        <v>10822.775776819719</v>
      </c>
      <c r="P17" s="82">
        <v>3321.3377780674718</v>
      </c>
      <c r="Q17" s="82">
        <v>11500</v>
      </c>
      <c r="R17" s="106">
        <v>0.75</v>
      </c>
    </row>
    <row r="18" spans="1:18" x14ac:dyDescent="0.25">
      <c r="A18" s="7">
        <v>2035</v>
      </c>
      <c r="B18" s="107">
        <v>0.22</v>
      </c>
      <c r="C18" s="108">
        <v>0.16</v>
      </c>
      <c r="D18" s="108">
        <v>0.06</v>
      </c>
      <c r="E18" s="109">
        <f t="shared" si="0"/>
        <v>0.27272727272727271</v>
      </c>
      <c r="F18" s="110">
        <v>168</v>
      </c>
      <c r="G18" s="110">
        <v>243</v>
      </c>
      <c r="H18" s="111">
        <v>0.05</v>
      </c>
      <c r="I18" s="108">
        <v>0.81499999999999995</v>
      </c>
      <c r="J18" s="112">
        <v>384.88941972099798</v>
      </c>
      <c r="K18" s="113">
        <v>605.385278055242</v>
      </c>
      <c r="L18" s="113">
        <v>2.95</v>
      </c>
      <c r="M18" s="113">
        <v>2.8</v>
      </c>
      <c r="N18" s="113">
        <v>113826.0409896362</v>
      </c>
      <c r="O18" s="113">
        <v>10900.624007151304</v>
      </c>
      <c r="P18" s="113">
        <v>3345.2281619844871</v>
      </c>
      <c r="Q18" s="113">
        <v>11500</v>
      </c>
      <c r="R18" s="114">
        <v>0.75</v>
      </c>
    </row>
  </sheetData>
  <sheetProtection algorithmName="SHA-512" hashValue="lwcr93ZCjE++zf8uIfqre0HBbjVhpSFzP8SGyNrsjnLHCzCmKPcJELMg6GOrMye4uG5TQ6PcWYBdkp3tV3h/dg==" saltValue="K+JWYsz2QMVgodaqY677eA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516EE-D529-4DCE-811D-A5CA16BCC533}">
  <dimension ref="A1:AT54"/>
  <sheetViews>
    <sheetView zoomScale="60" zoomScaleNormal="60" workbookViewId="0">
      <selection activeCell="K1" sqref="K1"/>
    </sheetView>
  </sheetViews>
  <sheetFormatPr defaultRowHeight="15" x14ac:dyDescent="0.25"/>
  <cols>
    <col min="1" max="2" width="11.7109375" style="7" customWidth="1"/>
    <col min="3" max="3" width="13.140625" style="7" bestFit="1" customWidth="1"/>
    <col min="4" max="4" width="11.7109375" style="7" customWidth="1"/>
    <col min="5" max="5" width="13.140625" style="7" bestFit="1" customWidth="1"/>
    <col min="6" max="7" width="11.7109375" style="7" customWidth="1"/>
    <col min="8" max="8" width="15" style="7" customWidth="1"/>
    <col min="9" max="15" width="11.7109375" style="7" customWidth="1"/>
    <col min="16" max="16" width="16.28515625" style="7" customWidth="1"/>
    <col min="17" max="17" width="14.28515625" style="7" customWidth="1"/>
    <col min="18" max="18" width="19" style="7" customWidth="1"/>
    <col min="19" max="19" width="10.42578125" style="7" customWidth="1"/>
    <col min="20" max="20" width="10.7109375" style="7" customWidth="1"/>
    <col min="21" max="21" width="11.7109375" style="9" bestFit="1" customWidth="1"/>
    <col min="22" max="28" width="13" style="9" customWidth="1"/>
    <col min="29" max="29" width="14.85546875" style="9" customWidth="1"/>
    <col min="30" max="30" width="14.7109375" style="9" bestFit="1" customWidth="1"/>
    <col min="31" max="31" width="14.140625" style="9" customWidth="1"/>
    <col min="32" max="32" width="14.42578125" style="9" customWidth="1"/>
    <col min="33" max="33" width="15.42578125" style="9" customWidth="1"/>
    <col min="34" max="36" width="13" style="9" customWidth="1"/>
    <col min="37" max="37" width="16.140625" style="9" customWidth="1"/>
    <col min="38" max="38" width="16" style="7" customWidth="1"/>
    <col min="39" max="39" width="11.5703125" style="7" customWidth="1"/>
    <col min="40" max="40" width="18" style="7" customWidth="1"/>
    <col min="41" max="41" width="14.7109375" style="7" bestFit="1" customWidth="1"/>
    <col min="42" max="42" width="16.5703125" style="7" customWidth="1"/>
    <col min="43" max="43" width="18" style="7" customWidth="1"/>
    <col min="44" max="44" width="14.140625" style="7" customWidth="1"/>
    <col min="45" max="45" width="15.5703125" style="7" customWidth="1"/>
    <col min="46" max="46" width="14.85546875" style="7" customWidth="1"/>
    <col min="47" max="16384" width="9.140625" style="7"/>
  </cols>
  <sheetData>
    <row r="1" spans="1:46" ht="49.5" customHeight="1" x14ac:dyDescent="0.4">
      <c r="A1" s="9"/>
      <c r="B1" s="38" t="s">
        <v>153</v>
      </c>
      <c r="C1" s="9"/>
      <c r="D1" s="9"/>
      <c r="E1" s="9"/>
      <c r="F1" s="9"/>
      <c r="G1" s="9"/>
      <c r="H1" s="9"/>
      <c r="I1" s="9"/>
      <c r="J1" s="9"/>
      <c r="N1" s="37" t="s">
        <v>67</v>
      </c>
      <c r="AN1" s="77" t="s">
        <v>154</v>
      </c>
    </row>
    <row r="2" spans="1:46" ht="49.5" customHeight="1" thickBot="1" x14ac:dyDescent="0.3">
      <c r="A2" s="9"/>
      <c r="B2" s="28" t="s">
        <v>155</v>
      </c>
      <c r="C2" s="9"/>
      <c r="D2" s="9"/>
      <c r="E2" s="9"/>
      <c r="F2" s="9"/>
      <c r="G2" s="9"/>
      <c r="H2" s="9"/>
      <c r="I2" s="9"/>
      <c r="J2" s="9"/>
      <c r="O2" s="22"/>
      <c r="T2" s="22" t="s">
        <v>156</v>
      </c>
      <c r="AN2" s="22" t="s">
        <v>156</v>
      </c>
      <c r="AT2" s="22"/>
    </row>
    <row r="3" spans="1:46" ht="60" x14ac:dyDescent="0.25">
      <c r="A3" s="2"/>
      <c r="B3" s="29" t="s">
        <v>157</v>
      </c>
      <c r="C3" s="30" t="s">
        <v>158</v>
      </c>
      <c r="D3" s="30" t="s">
        <v>159</v>
      </c>
      <c r="E3" s="30" t="s">
        <v>160</v>
      </c>
      <c r="F3" s="30" t="s">
        <v>161</v>
      </c>
      <c r="G3" s="30" t="s">
        <v>162</v>
      </c>
      <c r="H3" s="30" t="s">
        <v>163</v>
      </c>
      <c r="I3" s="30" t="s">
        <v>164</v>
      </c>
      <c r="J3" s="31" t="s">
        <v>165</v>
      </c>
      <c r="K3" s="2"/>
      <c r="L3" s="5"/>
      <c r="M3" s="45" t="s">
        <v>166</v>
      </c>
      <c r="N3" s="46" t="s">
        <v>167</v>
      </c>
      <c r="O3" s="46" t="s">
        <v>168</v>
      </c>
      <c r="P3" s="46" t="s">
        <v>169</v>
      </c>
      <c r="Q3" s="46" t="s">
        <v>170</v>
      </c>
      <c r="R3" s="46" t="s">
        <v>171</v>
      </c>
      <c r="S3" s="40" t="s">
        <v>172</v>
      </c>
      <c r="T3" s="40" t="s">
        <v>173</v>
      </c>
      <c r="U3" s="40" t="s">
        <v>174</v>
      </c>
      <c r="V3" s="40" t="s">
        <v>175</v>
      </c>
      <c r="W3" s="40" t="s">
        <v>176</v>
      </c>
      <c r="X3" s="40" t="s">
        <v>177</v>
      </c>
      <c r="Y3" s="40" t="s">
        <v>178</v>
      </c>
      <c r="Z3" s="40" t="s">
        <v>179</v>
      </c>
      <c r="AA3" s="40" t="s">
        <v>180</v>
      </c>
      <c r="AB3" s="40" t="s">
        <v>235</v>
      </c>
      <c r="AC3" s="40" t="s">
        <v>181</v>
      </c>
      <c r="AD3" s="40" t="s">
        <v>236</v>
      </c>
      <c r="AE3" s="40" t="s">
        <v>182</v>
      </c>
      <c r="AF3" s="40" t="s">
        <v>237</v>
      </c>
      <c r="AG3" s="40" t="s">
        <v>183</v>
      </c>
      <c r="AH3" s="40" t="s">
        <v>184</v>
      </c>
      <c r="AI3" s="40" t="s">
        <v>185</v>
      </c>
      <c r="AJ3" s="65" t="s">
        <v>186</v>
      </c>
      <c r="AK3" s="2"/>
      <c r="AM3" s="39" t="s">
        <v>187</v>
      </c>
      <c r="AN3" s="40" t="s">
        <v>179</v>
      </c>
      <c r="AO3" s="40" t="s">
        <v>184</v>
      </c>
      <c r="AP3" s="40" t="s">
        <v>185</v>
      </c>
      <c r="AQ3" s="40" t="s">
        <v>186</v>
      </c>
      <c r="AR3" s="40" t="s">
        <v>180</v>
      </c>
      <c r="AS3" s="65" t="s">
        <v>235</v>
      </c>
    </row>
    <row r="4" spans="1:46" s="1" customFormat="1" ht="30" x14ac:dyDescent="0.25">
      <c r="A4" s="3"/>
      <c r="B4" s="13" t="s">
        <v>45</v>
      </c>
      <c r="C4" s="3" t="s">
        <v>47</v>
      </c>
      <c r="D4" s="3" t="s">
        <v>188</v>
      </c>
      <c r="E4" s="3" t="s">
        <v>51</v>
      </c>
      <c r="F4" s="3" t="s">
        <v>53</v>
      </c>
      <c r="G4" s="3" t="s">
        <v>55</v>
      </c>
      <c r="H4" s="3" t="s">
        <v>57</v>
      </c>
      <c r="I4" s="3" t="s">
        <v>59</v>
      </c>
      <c r="J4" s="14" t="s">
        <v>61</v>
      </c>
      <c r="K4" s="2"/>
      <c r="L4" s="5"/>
      <c r="M4" s="19" t="s">
        <v>189</v>
      </c>
      <c r="N4" s="12" t="s">
        <v>69</v>
      </c>
      <c r="O4" s="12" t="s">
        <v>71</v>
      </c>
      <c r="P4" s="12" t="s">
        <v>73</v>
      </c>
      <c r="Q4" s="12" t="s">
        <v>190</v>
      </c>
      <c r="R4" s="12" t="s">
        <v>191</v>
      </c>
      <c r="S4" s="12" t="s">
        <v>79</v>
      </c>
      <c r="T4" s="12" t="s">
        <v>81</v>
      </c>
      <c r="U4" s="12" t="s">
        <v>83</v>
      </c>
      <c r="V4" s="12" t="s">
        <v>85</v>
      </c>
      <c r="W4" s="12" t="s">
        <v>87</v>
      </c>
      <c r="X4" s="12" t="s">
        <v>89</v>
      </c>
      <c r="Y4" s="12" t="s">
        <v>91</v>
      </c>
      <c r="Z4" s="12" t="s">
        <v>93</v>
      </c>
      <c r="AA4" s="12" t="s">
        <v>192</v>
      </c>
      <c r="AB4" s="12" t="s">
        <v>96</v>
      </c>
      <c r="AC4" s="12" t="s">
        <v>98</v>
      </c>
      <c r="AD4" s="12" t="s">
        <v>100</v>
      </c>
      <c r="AE4" s="12" t="s">
        <v>102</v>
      </c>
      <c r="AF4" s="12" t="s">
        <v>104</v>
      </c>
      <c r="AG4" s="12" t="s">
        <v>106</v>
      </c>
      <c r="AH4" s="12" t="s">
        <v>108</v>
      </c>
      <c r="AI4" s="12" t="s">
        <v>110</v>
      </c>
      <c r="AJ4" s="32" t="s">
        <v>112</v>
      </c>
      <c r="AK4" s="2"/>
      <c r="AL4" s="7"/>
      <c r="AM4" s="19" t="s">
        <v>83</v>
      </c>
      <c r="AN4" s="12" t="s">
        <v>93</v>
      </c>
      <c r="AO4" s="12" t="s">
        <v>108</v>
      </c>
      <c r="AP4" s="12" t="s">
        <v>110</v>
      </c>
      <c r="AQ4" s="12" t="s">
        <v>112</v>
      </c>
      <c r="AR4" s="12" t="s">
        <v>192</v>
      </c>
      <c r="AS4" s="32" t="s">
        <v>96</v>
      </c>
    </row>
    <row r="5" spans="1:46" s="8" customFormat="1" ht="24" x14ac:dyDescent="0.2">
      <c r="A5" s="17"/>
      <c r="B5" s="20" t="s">
        <v>193</v>
      </c>
      <c r="C5" s="17" t="s">
        <v>148</v>
      </c>
      <c r="D5" s="17" t="s">
        <v>194</v>
      </c>
      <c r="E5" s="17" t="s">
        <v>195</v>
      </c>
      <c r="F5" s="17" t="s">
        <v>196</v>
      </c>
      <c r="G5" s="17" t="s">
        <v>197</v>
      </c>
      <c r="H5" s="17" t="s">
        <v>148</v>
      </c>
      <c r="I5" s="17" t="s">
        <v>148</v>
      </c>
      <c r="J5" s="21" t="s">
        <v>148</v>
      </c>
      <c r="K5" s="17"/>
      <c r="L5" s="6"/>
      <c r="M5" s="20" t="s">
        <v>193</v>
      </c>
      <c r="N5" s="10" t="s">
        <v>198</v>
      </c>
      <c r="O5" s="10" t="s">
        <v>198</v>
      </c>
      <c r="P5" s="10" t="s">
        <v>198</v>
      </c>
      <c r="Q5" s="10" t="s">
        <v>193</v>
      </c>
      <c r="R5" s="10" t="s">
        <v>193</v>
      </c>
      <c r="S5" s="10" t="s">
        <v>199</v>
      </c>
      <c r="T5" s="10" t="s">
        <v>200</v>
      </c>
      <c r="U5" s="10"/>
      <c r="V5" s="10" t="s">
        <v>201</v>
      </c>
      <c r="W5" s="10" t="s">
        <v>201</v>
      </c>
      <c r="X5" s="10" t="s">
        <v>201</v>
      </c>
      <c r="Y5" s="10" t="s">
        <v>201</v>
      </c>
      <c r="Z5" s="10" t="s">
        <v>201</v>
      </c>
      <c r="AA5" s="10" t="s">
        <v>202</v>
      </c>
      <c r="AB5" s="10" t="s">
        <v>202</v>
      </c>
      <c r="AC5" s="10" t="s">
        <v>203</v>
      </c>
      <c r="AD5" s="10" t="s">
        <v>203</v>
      </c>
      <c r="AE5" s="10" t="s">
        <v>203</v>
      </c>
      <c r="AF5" s="10" t="s">
        <v>203</v>
      </c>
      <c r="AG5" s="10" t="s">
        <v>204</v>
      </c>
      <c r="AH5" s="10" t="s">
        <v>205</v>
      </c>
      <c r="AI5" s="10" t="s">
        <v>206</v>
      </c>
      <c r="AJ5" s="25" t="s">
        <v>206</v>
      </c>
      <c r="AK5" s="10"/>
      <c r="AM5" s="52" t="s">
        <v>148</v>
      </c>
      <c r="AN5" s="10" t="s">
        <v>201</v>
      </c>
      <c r="AO5" s="10" t="s">
        <v>205</v>
      </c>
      <c r="AP5" s="10" t="s">
        <v>206</v>
      </c>
      <c r="AQ5" s="10" t="s">
        <v>206</v>
      </c>
      <c r="AR5" s="10" t="s">
        <v>202</v>
      </c>
      <c r="AS5" s="25" t="s">
        <v>207</v>
      </c>
    </row>
    <row r="6" spans="1:46" x14ac:dyDescent="0.25">
      <c r="A6" s="26">
        <v>2023</v>
      </c>
      <c r="B6" s="88">
        <v>0</v>
      </c>
      <c r="C6" s="63">
        <f>Constants!E6</f>
        <v>0.29411764705882359</v>
      </c>
      <c r="D6" s="82">
        <v>350</v>
      </c>
      <c r="E6" s="82">
        <v>53</v>
      </c>
      <c r="F6" s="82">
        <v>350</v>
      </c>
      <c r="G6" s="82">
        <v>41</v>
      </c>
      <c r="H6" s="90">
        <v>0.03</v>
      </c>
      <c r="I6" s="90">
        <v>1</v>
      </c>
      <c r="J6" s="83">
        <v>1</v>
      </c>
      <c r="K6" s="18"/>
      <c r="L6" s="61">
        <v>2023</v>
      </c>
      <c r="M6" s="34">
        <f>Constants!N6*Constants!B6-B6</f>
        <v>0</v>
      </c>
      <c r="N6" s="9">
        <f t="shared" ref="N6:N18" si="0">(D6*0.01+0.5)*I6+(F6*0.01+0.5)*(1-I6)</f>
        <v>4</v>
      </c>
      <c r="O6" s="9">
        <f t="shared" ref="O6:O18" si="1">(E6*0.01+0.3)*J6+(G6*0.01+0.3)*(1-J6)</f>
        <v>0.83000000000000007</v>
      </c>
      <c r="P6" s="9">
        <f t="shared" ref="P6:P18" si="2">O6+0.2*H6</f>
        <v>0.83600000000000008</v>
      </c>
      <c r="Q6" s="9">
        <f>IF(N6&gt;4,4,N6)</f>
        <v>4</v>
      </c>
      <c r="R6" s="9">
        <f t="shared" ref="R6:R18" si="3">IF(H6=0,IF(P6&gt;1.1,1.1,P6),IF(P6&gt;1.3,1.3,P6))</f>
        <v>0.83600000000000008</v>
      </c>
      <c r="S6" s="9">
        <f t="shared" ref="S6:S18" si="4">(M6*C6)/R6</f>
        <v>0</v>
      </c>
      <c r="T6" s="9">
        <f t="shared" ref="T6:T18" si="5">(M6-(M6*C6))/Q6</f>
        <v>0</v>
      </c>
      <c r="U6" s="15">
        <f>(S6+T6)/Constants!N6</f>
        <v>0</v>
      </c>
      <c r="V6" s="42">
        <f>(Constants!Q6*I6*Constants!F6*T6*0.000001)</f>
        <v>0</v>
      </c>
      <c r="W6" s="42">
        <f>(Constants!Q6*(1-I6)*Constants!G6*T6*0.000001)</f>
        <v>0</v>
      </c>
      <c r="X6" s="42">
        <f>(Constants!Q6*Constants!R6*J6*Constants!F6*S6*0.000001)</f>
        <v>0</v>
      </c>
      <c r="Y6" s="42">
        <f>(Constants!Q6*Constants!R6*(1-J6)*Constants!G6*S6*0.000001)</f>
        <v>0</v>
      </c>
      <c r="Z6" s="28">
        <f>V6+W6+X6+Y6</f>
        <v>0</v>
      </c>
      <c r="AA6" s="43">
        <f>Constants!Q6*Constants!H6*(T6+S6)/1000000</f>
        <v>0</v>
      </c>
      <c r="AB6" s="43">
        <f>AA6</f>
        <v>0</v>
      </c>
      <c r="AC6" s="44">
        <f>Constants!Q6/Constants!L6*('Minimum Compliance'!T6*I6)</f>
        <v>0</v>
      </c>
      <c r="AD6" s="44">
        <f>(Constants!Q6*Constants!R6)/Constants!L6*('Minimum Compliance'!S6*J6)</f>
        <v>0</v>
      </c>
      <c r="AE6" s="42">
        <f>Constants!Q6/Constants!M6*'Minimum Compliance'!T6*(1-I6)</f>
        <v>0</v>
      </c>
      <c r="AF6" s="42">
        <f>(Constants!Q6*Constants!R6)/Constants!M6*'Minimum Compliance'!S6*(1-J6)</f>
        <v>0</v>
      </c>
      <c r="AG6" s="9">
        <f>(AC6+AD6+AE6+AF6)*0.001</f>
        <v>0</v>
      </c>
      <c r="AH6" s="28">
        <f>(AG6*Constants!I6*Constants!K6+'Minimum Compliance'!AG6*(1-Constants!I6)*Constants!J6)*0.000453592</f>
        <v>0</v>
      </c>
      <c r="AI6" s="33">
        <f t="shared" ref="AI6:AI18" si="6">Z6-AH6</f>
        <v>0</v>
      </c>
      <c r="AJ6" s="48">
        <f>AI6</f>
        <v>0</v>
      </c>
      <c r="AL6" s="7">
        <v>2023</v>
      </c>
      <c r="AM6" s="59">
        <f>(S6+T6+S24+T24+S42+T42)/(Constants!P6+Constants!O6+Constants!N6)</f>
        <v>0</v>
      </c>
      <c r="AN6" s="53">
        <f>Z6+Z24+Z42</f>
        <v>0</v>
      </c>
      <c r="AO6" s="53">
        <f t="shared" ref="AO6:AO18" si="7">AH6+AH24+AH42</f>
        <v>0</v>
      </c>
      <c r="AP6" s="53">
        <f t="shared" ref="AP6:AP18" si="8">AI6+AI24+AI42</f>
        <v>0</v>
      </c>
      <c r="AQ6" s="53">
        <f t="shared" ref="AQ6:AQ18" si="9">AJ6+AJ24+AJ42</f>
        <v>0</v>
      </c>
      <c r="AR6" s="53">
        <f t="shared" ref="AR6:AR18" si="10">AA6+AA24+AA42</f>
        <v>0</v>
      </c>
      <c r="AS6" s="54">
        <f>(AB6+AB24+AB42)*1.10231</f>
        <v>0</v>
      </c>
    </row>
    <row r="7" spans="1:46" x14ac:dyDescent="0.25">
      <c r="A7" s="26">
        <v>2024</v>
      </c>
      <c r="B7" s="88">
        <v>0</v>
      </c>
      <c r="C7" s="63">
        <f>Constants!E7</f>
        <v>0.28205128205128205</v>
      </c>
      <c r="D7" s="82">
        <v>350</v>
      </c>
      <c r="E7" s="82">
        <v>57</v>
      </c>
      <c r="F7" s="82">
        <v>350</v>
      </c>
      <c r="G7" s="82">
        <v>44</v>
      </c>
      <c r="H7" s="90">
        <v>0.03</v>
      </c>
      <c r="I7" s="90">
        <v>1</v>
      </c>
      <c r="J7" s="83">
        <v>1</v>
      </c>
      <c r="K7" s="18"/>
      <c r="L7" s="61">
        <v>2024</v>
      </c>
      <c r="M7" s="34">
        <f>Constants!N7*Constants!B7-B7</f>
        <v>0</v>
      </c>
      <c r="N7" s="9">
        <f t="shared" si="0"/>
        <v>4</v>
      </c>
      <c r="O7" s="9">
        <f t="shared" si="1"/>
        <v>0.87000000000000011</v>
      </c>
      <c r="P7" s="9">
        <f t="shared" si="2"/>
        <v>0.87600000000000011</v>
      </c>
      <c r="Q7" s="9">
        <f t="shared" ref="Q7:Q18" si="11">IF(N7&gt;4,4,N7)</f>
        <v>4</v>
      </c>
      <c r="R7" s="9">
        <f t="shared" si="3"/>
        <v>0.87600000000000011</v>
      </c>
      <c r="S7" s="9">
        <f t="shared" si="4"/>
        <v>0</v>
      </c>
      <c r="T7" s="9">
        <f t="shared" si="5"/>
        <v>0</v>
      </c>
      <c r="U7" s="15">
        <f>(S7+T7)/Constants!N7</f>
        <v>0</v>
      </c>
      <c r="V7" s="42">
        <f>(Constants!Q7*I7*Constants!F7*T7*0.000001)</f>
        <v>0</v>
      </c>
      <c r="W7" s="42">
        <f>(Constants!Q7*(1-I7)*Constants!G7*T7*0.000001)</f>
        <v>0</v>
      </c>
      <c r="X7" s="42">
        <f>(Constants!Q7*Constants!R7*J7*Constants!F7*S7*0.000001)</f>
        <v>0</v>
      </c>
      <c r="Y7" s="42">
        <f>(Constants!Q7*Constants!R7*(1-J7)*Constants!G7*S7*0.000001)</f>
        <v>0</v>
      </c>
      <c r="Z7" s="28">
        <f t="shared" ref="Z7:Z18" si="12">V7+W7+X7+Y7</f>
        <v>0</v>
      </c>
      <c r="AA7" s="43">
        <f>Constants!Q7*Constants!H7*(T7+S7)/1000000</f>
        <v>0</v>
      </c>
      <c r="AB7" s="43">
        <f>AB6+AA7</f>
        <v>0</v>
      </c>
      <c r="AC7" s="44">
        <f>Constants!Q7/Constants!L7*('Minimum Compliance'!T7*I7)</f>
        <v>0</v>
      </c>
      <c r="AD7" s="44">
        <f>(Constants!Q7*Constants!R7)/Constants!L7*('Minimum Compliance'!S7*J7)</f>
        <v>0</v>
      </c>
      <c r="AE7" s="42">
        <f>Constants!Q7/Constants!M7*'Minimum Compliance'!T7*(1-I7)</f>
        <v>0</v>
      </c>
      <c r="AF7" s="42">
        <f>(Constants!Q7*Constants!R7)/Constants!M7*'Minimum Compliance'!S7*(1-J7)</f>
        <v>0</v>
      </c>
      <c r="AG7" s="9">
        <f t="shared" ref="AG7:AG18" si="13">(AC7+AD7+AE7+AF7)*0.001</f>
        <v>0</v>
      </c>
      <c r="AH7" s="28">
        <f>(AG7*Constants!I7*Constants!K7+'Minimum Compliance'!AG7*(1-Constants!I7)*Constants!J7)*0.000453592</f>
        <v>0</v>
      </c>
      <c r="AI7" s="33">
        <f t="shared" si="6"/>
        <v>0</v>
      </c>
      <c r="AJ7" s="48">
        <f>AI7+AJ6</f>
        <v>0</v>
      </c>
      <c r="AL7" s="7">
        <v>2024</v>
      </c>
      <c r="AM7" s="59">
        <f>(S7+T7+S25+T25+S43+T43)/(Constants!P7+Constants!O7+Constants!N7)</f>
        <v>0</v>
      </c>
      <c r="AN7" s="53">
        <f t="shared" ref="AN7:AN18" si="14">Z7+Z25+Z43</f>
        <v>0</v>
      </c>
      <c r="AO7" s="53">
        <f t="shared" si="7"/>
        <v>0</v>
      </c>
      <c r="AP7" s="53">
        <f t="shared" si="8"/>
        <v>0</v>
      </c>
      <c r="AQ7" s="53">
        <f t="shared" si="9"/>
        <v>0</v>
      </c>
      <c r="AR7" s="53">
        <f t="shared" si="10"/>
        <v>0</v>
      </c>
      <c r="AS7" s="54">
        <f t="shared" ref="AS7:AS18" si="15">(AB7+AB25+AB43)*1.10231</f>
        <v>0</v>
      </c>
    </row>
    <row r="8" spans="1:46" x14ac:dyDescent="0.25">
      <c r="A8" s="26">
        <v>2025</v>
      </c>
      <c r="B8" s="88">
        <v>0</v>
      </c>
      <c r="C8" s="63">
        <f>Constants!E8</f>
        <v>0.27272727272727271</v>
      </c>
      <c r="D8" s="82">
        <v>350</v>
      </c>
      <c r="E8" s="82">
        <v>60</v>
      </c>
      <c r="F8" s="82">
        <v>350</v>
      </c>
      <c r="G8" s="82">
        <v>47</v>
      </c>
      <c r="H8" s="90">
        <v>0.03</v>
      </c>
      <c r="I8" s="90">
        <v>0.9</v>
      </c>
      <c r="J8" s="83">
        <v>0.9</v>
      </c>
      <c r="K8" s="18"/>
      <c r="L8" s="61">
        <v>2025</v>
      </c>
      <c r="M8" s="34">
        <f>Constants!N8*Constants!B8-B8</f>
        <v>23637.013930144421</v>
      </c>
      <c r="N8" s="9">
        <f t="shared" si="0"/>
        <v>4</v>
      </c>
      <c r="O8" s="9">
        <f t="shared" si="1"/>
        <v>0.8869999999999999</v>
      </c>
      <c r="P8" s="9">
        <f t="shared" si="2"/>
        <v>0.8929999999999999</v>
      </c>
      <c r="Q8" s="9">
        <f t="shared" si="11"/>
        <v>4</v>
      </c>
      <c r="R8" s="9">
        <f t="shared" si="3"/>
        <v>0.8929999999999999</v>
      </c>
      <c r="S8" s="9">
        <f t="shared" si="4"/>
        <v>7218.8783254029595</v>
      </c>
      <c r="T8" s="9">
        <f t="shared" si="5"/>
        <v>4297.6388963898953</v>
      </c>
      <c r="U8" s="15">
        <f>(S8+T8)/Constants!N8</f>
        <v>0.10718924972004482</v>
      </c>
      <c r="V8" s="42">
        <f>(Constants!Q8*I8*Constants!F8*T8*0.000001)</f>
        <v>7606.1762007756552</v>
      </c>
      <c r="W8" s="42">
        <f>(Constants!Q8*(1-I8)*Constants!G8*T8*0.000001)</f>
        <v>1220.7443285195495</v>
      </c>
      <c r="X8" s="42">
        <f>(Constants!Q8*Constants!R8*J8*Constants!F8*S8*0.000001)</f>
        <v>9582.2488531608196</v>
      </c>
      <c r="Y8" s="42">
        <f>(Constants!Q8*Constants!R8*(1-J8)*Constants!G8*S8*0.000001)</f>
        <v>1537.8917912480324</v>
      </c>
      <c r="Z8" s="28">
        <f t="shared" si="12"/>
        <v>19947.061173704056</v>
      </c>
      <c r="AA8" s="43">
        <f>Constants!Q8*Constants!H8*(T8+S8)/1000000</f>
        <v>6.6219974025308916</v>
      </c>
      <c r="AB8" s="43">
        <f t="shared" ref="AB8:AB18" si="16">AB7+AA8</f>
        <v>6.6219974025308916</v>
      </c>
      <c r="AC8" s="44">
        <f>Constants!Q8/Constants!L8*('Minimum Compliance'!T8*I8)</f>
        <v>15078156.805978106</v>
      </c>
      <c r="AD8" s="44">
        <f>(Constants!Q8*Constants!R8)/Constants!L8*('Minimum Compliance'!S8*J8)</f>
        <v>18995438.305403549</v>
      </c>
      <c r="AE8" s="42">
        <f>Constants!Q8/Constants!M8*'Minimum Compliance'!T8*(1-I8)</f>
        <v>1765101.6895887069</v>
      </c>
      <c r="AF8" s="42">
        <f>(Constants!Q8*Constants!R8)/Constants!M8*'Minimum Compliance'!S8*(1-J8)</f>
        <v>2223672.3413071614</v>
      </c>
      <c r="AG8" s="9">
        <f t="shared" si="13"/>
        <v>38062.369142277523</v>
      </c>
      <c r="AH8" s="28">
        <f>(AG8*Constants!I8*Constants!K8+'Minimum Compliance'!AG8*(1-Constants!I8)*Constants!J8)*0.000453592</f>
        <v>11624.390245321265</v>
      </c>
      <c r="AI8" s="33">
        <f t="shared" si="6"/>
        <v>8322.6709283827913</v>
      </c>
      <c r="AJ8" s="48">
        <f t="shared" ref="AJ8:AJ18" si="17">AI8+AJ7</f>
        <v>8322.6709283827913</v>
      </c>
      <c r="AL8" s="7">
        <v>2025</v>
      </c>
      <c r="AM8" s="59">
        <f>(S8+T8+S26+T26+S44+T44)/(Constants!P8+Constants!O8+Constants!N8)</f>
        <v>0.11577188503469006</v>
      </c>
      <c r="AN8" s="53">
        <f t="shared" si="14"/>
        <v>23716.299670588425</v>
      </c>
      <c r="AO8" s="53">
        <f t="shared" si="7"/>
        <v>13906.359854113651</v>
      </c>
      <c r="AP8" s="53">
        <f t="shared" si="8"/>
        <v>9809.9398164747745</v>
      </c>
      <c r="AQ8" s="53">
        <f t="shared" si="9"/>
        <v>9809.9398164747745</v>
      </c>
      <c r="AR8" s="53">
        <f t="shared" si="10"/>
        <v>8.0473534809023253</v>
      </c>
      <c r="AS8" s="54">
        <f t="shared" si="15"/>
        <v>8.8706782155334416</v>
      </c>
    </row>
    <row r="9" spans="1:46" x14ac:dyDescent="0.25">
      <c r="A9" s="26">
        <v>2026</v>
      </c>
      <c r="B9" s="88">
        <v>0</v>
      </c>
      <c r="C9" s="63">
        <f>Constants!E9</f>
        <v>0.27272727272727271</v>
      </c>
      <c r="D9" s="82">
        <v>350</v>
      </c>
      <c r="E9" s="82">
        <v>64</v>
      </c>
      <c r="F9" s="82">
        <v>350</v>
      </c>
      <c r="G9" s="82">
        <v>50</v>
      </c>
      <c r="H9" s="90">
        <v>0.03</v>
      </c>
      <c r="I9" s="90">
        <v>0.9</v>
      </c>
      <c r="J9" s="83">
        <v>0.9</v>
      </c>
      <c r="K9" s="18"/>
      <c r="L9" s="61">
        <v>2026</v>
      </c>
      <c r="M9" s="34">
        <f>Constants!N9*Constants!B9-B9</f>
        <v>24184.866495954113</v>
      </c>
      <c r="N9" s="9">
        <f t="shared" si="0"/>
        <v>4</v>
      </c>
      <c r="O9" s="9">
        <f t="shared" si="1"/>
        <v>0.92599999999999993</v>
      </c>
      <c r="P9" s="9">
        <f t="shared" si="2"/>
        <v>0.93199999999999994</v>
      </c>
      <c r="Q9" s="9">
        <f t="shared" si="11"/>
        <v>4</v>
      </c>
      <c r="R9" s="9">
        <f t="shared" si="3"/>
        <v>0.93199999999999994</v>
      </c>
      <c r="S9" s="9">
        <f t="shared" si="4"/>
        <v>7077.1166102089683</v>
      </c>
      <c r="T9" s="9">
        <f t="shared" si="5"/>
        <v>4397.2484538098388</v>
      </c>
      <c r="U9" s="15">
        <f>(S9+T9)/Constants!N9</f>
        <v>0.10437768240343348</v>
      </c>
      <c r="V9" s="42">
        <f>(Constants!Q9*I9*Constants!F9*T9*0.000001)</f>
        <v>7645.9356114845468</v>
      </c>
      <c r="W9" s="42">
        <f>(Constants!Q9*(1-I9)*Constants!G9*T9*0.000001)</f>
        <v>1228.811080417159</v>
      </c>
      <c r="X9" s="42">
        <f>(Constants!Q9*Constants!R9*J9*Constants!F9*S9*0.000001)</f>
        <v>9229.2677713735156</v>
      </c>
      <c r="Y9" s="42">
        <f>(Constants!Q9*Constants!R9*(1-J9)*Constants!G9*S9*0.000001)</f>
        <v>1483.2751775421716</v>
      </c>
      <c r="Z9" s="28">
        <f t="shared" si="12"/>
        <v>19587.289640817391</v>
      </c>
      <c r="AA9" s="43">
        <f>Constants!Q9*Constants!H9*(T9+S9)/1000000</f>
        <v>6.5977599118108134</v>
      </c>
      <c r="AB9" s="43">
        <f t="shared" si="16"/>
        <v>13.219757314341706</v>
      </c>
      <c r="AC9" s="44">
        <f>Constants!Q9/Constants!L9*('Minimum Compliance'!T9*I9)</f>
        <v>15427634.405739604</v>
      </c>
      <c r="AD9" s="44">
        <f>(Constants!Q9*Constants!R9)/Constants!L9*('Minimum Compliance'!S9*J9)</f>
        <v>18622412.775168512</v>
      </c>
      <c r="AE9" s="42">
        <f>Constants!Q9/Constants!M9*'Minimum Compliance'!T9*(1-I9)</f>
        <v>1806012.7578147552</v>
      </c>
      <c r="AF9" s="42">
        <f>(Constants!Q9*Constants!R9)/Constants!M9*'Minimum Compliance'!S9*(1-J9)</f>
        <v>2180004.6701090122</v>
      </c>
      <c r="AG9" s="9">
        <f t="shared" si="13"/>
        <v>38036.064608831883</v>
      </c>
      <c r="AH9" s="28">
        <f>(AG9*Constants!I9*Constants!K9+'Minimum Compliance'!AG9*(1-Constants!I9)*Constants!J9)*0.000453592</f>
        <v>11574.232613584865</v>
      </c>
      <c r="AI9" s="33">
        <f t="shared" si="6"/>
        <v>8013.0570272325258</v>
      </c>
      <c r="AJ9" s="48">
        <f t="shared" si="17"/>
        <v>16335.727955615317</v>
      </c>
      <c r="AL9" s="7">
        <v>2026</v>
      </c>
      <c r="AM9" s="59">
        <f>(S9+T9+S27+T27+S45+T45)/(Constants!P9+Constants!O9+Constants!N9)</f>
        <v>0.1124865490489031</v>
      </c>
      <c r="AN9" s="53">
        <f t="shared" si="14"/>
        <v>23235.267953985927</v>
      </c>
      <c r="AO9" s="53">
        <f t="shared" si="7"/>
        <v>13814.075624861751</v>
      </c>
      <c r="AP9" s="53">
        <f t="shared" si="8"/>
        <v>9421.1923291241765</v>
      </c>
      <c r="AQ9" s="53">
        <f t="shared" si="9"/>
        <v>19231.132145598953</v>
      </c>
      <c r="AR9" s="53">
        <f t="shared" si="10"/>
        <v>8.0002148449071573</v>
      </c>
      <c r="AS9" s="54">
        <f t="shared" si="15"/>
        <v>17.689395041223055</v>
      </c>
    </row>
    <row r="10" spans="1:46" x14ac:dyDescent="0.25">
      <c r="A10" s="26">
        <v>2027</v>
      </c>
      <c r="B10" s="88">
        <v>0</v>
      </c>
      <c r="C10" s="63">
        <f>Constants!E10</f>
        <v>0.27272727272727271</v>
      </c>
      <c r="D10" s="82">
        <v>350</v>
      </c>
      <c r="E10" s="82">
        <v>68</v>
      </c>
      <c r="F10" s="82">
        <v>350</v>
      </c>
      <c r="G10" s="82">
        <v>52</v>
      </c>
      <c r="H10" s="90">
        <v>0.03</v>
      </c>
      <c r="I10" s="90">
        <v>0.8</v>
      </c>
      <c r="J10" s="83">
        <v>0.8</v>
      </c>
      <c r="K10" s="18"/>
      <c r="L10" s="61">
        <v>2027</v>
      </c>
      <c r="M10" s="34">
        <f>Constants!N10*Constants!B10-B10</f>
        <v>24219.656990679094</v>
      </c>
      <c r="N10" s="9">
        <f t="shared" si="0"/>
        <v>4</v>
      </c>
      <c r="O10" s="9">
        <f t="shared" si="1"/>
        <v>0.94799999999999995</v>
      </c>
      <c r="P10" s="9">
        <f t="shared" si="2"/>
        <v>0.95399999999999996</v>
      </c>
      <c r="Q10" s="9">
        <f t="shared" si="11"/>
        <v>4</v>
      </c>
      <c r="R10" s="9">
        <f t="shared" si="3"/>
        <v>0.95399999999999996</v>
      </c>
      <c r="S10" s="9">
        <f t="shared" si="4"/>
        <v>6923.8584879013988</v>
      </c>
      <c r="T10" s="9">
        <f t="shared" si="5"/>
        <v>4403.5739983052899</v>
      </c>
      <c r="U10" s="15">
        <f>(S10+T10)/Constants!N10</f>
        <v>0.1028930817610063</v>
      </c>
      <c r="V10" s="42">
        <f>(Constants!Q10*I10*Constants!F10*T10*0.000001)</f>
        <v>6806.1639717806556</v>
      </c>
      <c r="W10" s="42">
        <f>(Constants!Q10*(1-I10)*Constants!G10*T10*0.000001)</f>
        <v>2461.1575076528256</v>
      </c>
      <c r="X10" s="42">
        <f>(Constants!Q10*Constants!R10*J10*Constants!F10*S10*0.000001)</f>
        <v>8026.1367591753014</v>
      </c>
      <c r="Y10" s="42">
        <f>(Constants!Q10*Constants!R10*(1-J10)*Constants!G10*S10*0.000001)</f>
        <v>2902.3083816660678</v>
      </c>
      <c r="Z10" s="28">
        <f t="shared" si="12"/>
        <v>20195.766620274851</v>
      </c>
      <c r="AA10" s="43">
        <f>Constants!Q10*Constants!H10*(T10+S10)/1000000</f>
        <v>6.5132736795688464</v>
      </c>
      <c r="AB10" s="43">
        <f t="shared" si="16"/>
        <v>19.733030993910553</v>
      </c>
      <c r="AC10" s="44">
        <f>Constants!Q10/Constants!L10*('Minimum Compliance'!T10*I10)</f>
        <v>13733179.926918192</v>
      </c>
      <c r="AD10" s="44">
        <f>(Constants!Q10*Constants!R10)/Constants!L10*('Minimum Compliance'!S10*J10)</f>
        <v>16194787.649667677</v>
      </c>
      <c r="AE10" s="42">
        <f>Constants!Q10/Constants!M10*'Minimum Compliance'!T10*(1-I10)</f>
        <v>3617221.4986079163</v>
      </c>
      <c r="AF10" s="42">
        <f>(Constants!Q10*Constants!R10)/Constants!M10*'Minimum Compliance'!S10*(1-J10)</f>
        <v>4265591.3898678254</v>
      </c>
      <c r="AG10" s="9">
        <f t="shared" si="13"/>
        <v>37810.780465061609</v>
      </c>
      <c r="AH10" s="28">
        <f>(AG10*Constants!I10*Constants!K10+'Minimum Compliance'!AG10*(1-Constants!I10)*Constants!J10)*0.000453592</f>
        <v>11155.73509468355</v>
      </c>
      <c r="AI10" s="33">
        <f t="shared" si="6"/>
        <v>9040.031525591301</v>
      </c>
      <c r="AJ10" s="48">
        <f t="shared" si="17"/>
        <v>25375.759481206616</v>
      </c>
      <c r="AL10" s="7">
        <v>2027</v>
      </c>
      <c r="AM10" s="59">
        <f>(S10+T10+S28+T28+S46+T46)/(Constants!P10+Constants!O10+Constants!N10)</f>
        <v>0.11044439100000507</v>
      </c>
      <c r="AN10" s="53">
        <f t="shared" si="14"/>
        <v>23719.280516945502</v>
      </c>
      <c r="AO10" s="53">
        <f t="shared" si="7"/>
        <v>13253.357156217775</v>
      </c>
      <c r="AP10" s="53">
        <f t="shared" si="8"/>
        <v>10465.923360727727</v>
      </c>
      <c r="AQ10" s="53">
        <f t="shared" si="9"/>
        <v>29697.055506326677</v>
      </c>
      <c r="AR10" s="53">
        <f t="shared" si="10"/>
        <v>7.8662730139450536</v>
      </c>
      <c r="AS10" s="54">
        <f t="shared" si="15"/>
        <v>26.360466447224823</v>
      </c>
    </row>
    <row r="11" spans="1:46" x14ac:dyDescent="0.25">
      <c r="A11" s="26">
        <v>2028</v>
      </c>
      <c r="B11" s="88">
        <v>0</v>
      </c>
      <c r="C11" s="63">
        <f>Constants!E11</f>
        <v>0.27272727272727271</v>
      </c>
      <c r="D11" s="82">
        <v>350</v>
      </c>
      <c r="E11" s="82">
        <v>71</v>
      </c>
      <c r="F11" s="82">
        <v>350</v>
      </c>
      <c r="G11" s="82">
        <v>55</v>
      </c>
      <c r="H11" s="90">
        <v>0.03</v>
      </c>
      <c r="I11" s="90">
        <v>0.8</v>
      </c>
      <c r="J11" s="83">
        <v>0.7</v>
      </c>
      <c r="K11" s="18"/>
      <c r="L11" s="61">
        <v>2028</v>
      </c>
      <c r="M11" s="34">
        <f>Constants!N11*Constants!B11-B11</f>
        <v>23990.977896138484</v>
      </c>
      <c r="N11" s="9">
        <f t="shared" si="0"/>
        <v>4</v>
      </c>
      <c r="O11" s="9">
        <f t="shared" si="1"/>
        <v>0.96199999999999997</v>
      </c>
      <c r="P11" s="9">
        <f t="shared" si="2"/>
        <v>0.96799999999999997</v>
      </c>
      <c r="Q11" s="9">
        <f t="shared" si="11"/>
        <v>4</v>
      </c>
      <c r="R11" s="9">
        <f t="shared" si="3"/>
        <v>0.96799999999999997</v>
      </c>
      <c r="S11" s="9">
        <f t="shared" si="4"/>
        <v>6759.2912930517887</v>
      </c>
      <c r="T11" s="9">
        <f t="shared" si="5"/>
        <v>4361.9959811160879</v>
      </c>
      <c r="U11" s="15">
        <f>(S11+T11)/Constants!N11</f>
        <v>0.10198347107438016</v>
      </c>
      <c r="V11" s="42">
        <f>(Constants!Q11*I11*Constants!F11*T11*0.000001)</f>
        <v>6741.9009884130255</v>
      </c>
      <c r="W11" s="42">
        <f>(Constants!Q11*(1-I11)*Constants!G11*T11*0.000001)</f>
        <v>2437.9195538457807</v>
      </c>
      <c r="X11" s="42">
        <f>(Constants!Q11*Constants!R11*J11*Constants!F11*S11*0.000001)</f>
        <v>6855.9491585424284</v>
      </c>
      <c r="Y11" s="42">
        <f>(Constants!Q11*Constants!R11*(1-J11)*Constants!G11*S11*0.000001)</f>
        <v>4249.9888916474756</v>
      </c>
      <c r="Z11" s="28">
        <f t="shared" si="12"/>
        <v>20285.758592448714</v>
      </c>
      <c r="AA11" s="43">
        <f>Constants!Q11*Constants!H11*(T11+S11)/1000000</f>
        <v>6.3947401826465287</v>
      </c>
      <c r="AB11" s="43">
        <f t="shared" si="16"/>
        <v>26.127771176557083</v>
      </c>
      <c r="AC11" s="44">
        <f>Constants!Q11/Constants!L11*('Minimum Compliance'!T11*I11)</f>
        <v>13603512.890260341</v>
      </c>
      <c r="AD11" s="44">
        <f>(Constants!Q11*Constants!R11)/Constants!L11*('Minimum Compliance'!S11*J11)</f>
        <v>13833634.298915312</v>
      </c>
      <c r="AE11" s="42">
        <f>Constants!Q11/Constants!M11*'Minimum Compliance'!T11*(1-I11)</f>
        <v>3583068.1273453576</v>
      </c>
      <c r="AF11" s="42">
        <f>(Constants!Q11*Constants!R11)/Constants!M11*'Minimum Compliance'!S11*(1-J11)</f>
        <v>6246309.3645612523</v>
      </c>
      <c r="AG11" s="9">
        <f t="shared" si="13"/>
        <v>37266.524681082265</v>
      </c>
      <c r="AH11" s="28">
        <f>(AG11*Constants!I11*Constants!K11+'Minimum Compliance'!AG11*(1-Constants!I11)*Constants!J11)*0.000453592</f>
        <v>10654.628594546966</v>
      </c>
      <c r="AI11" s="33">
        <f t="shared" si="6"/>
        <v>9631.1299979017476</v>
      </c>
      <c r="AJ11" s="48">
        <f t="shared" si="17"/>
        <v>35006.889479108366</v>
      </c>
      <c r="AL11" s="7">
        <v>2028</v>
      </c>
      <c r="AM11" s="59">
        <f>(S11+T11+S29+T29+S47+T47)/(Constants!P11+Constants!O11+Constants!N11)</f>
        <v>0.10913128244709659</v>
      </c>
      <c r="AN11" s="53">
        <f t="shared" si="14"/>
        <v>23686.277708022575</v>
      </c>
      <c r="AO11" s="53">
        <f t="shared" si="7"/>
        <v>12616.331991218563</v>
      </c>
      <c r="AP11" s="53">
        <f t="shared" si="8"/>
        <v>11069.945716804008</v>
      </c>
      <c r="AQ11" s="53">
        <f t="shared" si="9"/>
        <v>40767.00122313069</v>
      </c>
      <c r="AR11" s="53">
        <f t="shared" si="10"/>
        <v>7.6993590304182655</v>
      </c>
      <c r="AS11" s="54">
        <f t="shared" si="15"/>
        <v>34.847546900045181</v>
      </c>
    </row>
    <row r="12" spans="1:46" x14ac:dyDescent="0.25">
      <c r="A12" s="26">
        <v>2029</v>
      </c>
      <c r="B12" s="88">
        <v>0</v>
      </c>
      <c r="C12" s="63">
        <f>Constants!E12</f>
        <v>0.27272727272727271</v>
      </c>
      <c r="D12" s="82">
        <v>350</v>
      </c>
      <c r="E12" s="82">
        <v>75</v>
      </c>
      <c r="F12" s="82">
        <v>350</v>
      </c>
      <c r="G12" s="82">
        <v>58</v>
      </c>
      <c r="H12" s="90">
        <v>0.03</v>
      </c>
      <c r="I12" s="90">
        <v>0.8</v>
      </c>
      <c r="J12" s="83">
        <v>0.6</v>
      </c>
      <c r="K12" s="18"/>
      <c r="L12" s="61">
        <v>2029</v>
      </c>
      <c r="M12" s="34">
        <f>Constants!N12*Constants!B12-B12</f>
        <v>24182.325617125884</v>
      </c>
      <c r="N12" s="9">
        <f t="shared" si="0"/>
        <v>4</v>
      </c>
      <c r="O12" s="9">
        <f t="shared" si="1"/>
        <v>0.98199999999999998</v>
      </c>
      <c r="P12" s="9">
        <f t="shared" si="2"/>
        <v>0.98799999999999999</v>
      </c>
      <c r="Q12" s="9">
        <f t="shared" si="11"/>
        <v>4</v>
      </c>
      <c r="R12" s="9">
        <f t="shared" si="3"/>
        <v>0.98799999999999999</v>
      </c>
      <c r="S12" s="9">
        <f t="shared" si="4"/>
        <v>6675.2831110947409</v>
      </c>
      <c r="T12" s="9">
        <f t="shared" si="5"/>
        <v>4396.7864758410697</v>
      </c>
      <c r="U12" s="15">
        <f>(S12+T12)/Constants!N12</f>
        <v>0.10072874493927125</v>
      </c>
      <c r="V12" s="42">
        <f>(Constants!Q12*I12*Constants!F12*T12*0.000001)</f>
        <v>6795.6731770599572</v>
      </c>
      <c r="W12" s="42">
        <f>(Constants!Q12*(1-I12)*Constants!G12*T12*0.000001)</f>
        <v>2457.363961347573</v>
      </c>
      <c r="X12" s="42">
        <f>(Constants!Q12*Constants!R12*J12*Constants!F12*S12*0.000001)</f>
        <v>5803.4911367857676</v>
      </c>
      <c r="Y12" s="42">
        <f>(Constants!Q12*Constants!R12*(1-J12)*Constants!G12*S12*0.000001)</f>
        <v>5596.2235961862762</v>
      </c>
      <c r="Z12" s="28">
        <f t="shared" si="12"/>
        <v>20652.751871379573</v>
      </c>
      <c r="AA12" s="43">
        <f>Constants!Q12*Constants!H12*(T12+S12)/1000000</f>
        <v>6.3664400124880904</v>
      </c>
      <c r="AB12" s="43">
        <f t="shared" si="16"/>
        <v>32.494211189045174</v>
      </c>
      <c r="AC12" s="44">
        <f>Constants!Q12/Constants!L12*('Minimum Compliance'!T12*I12)</f>
        <v>13712012.060250117</v>
      </c>
      <c r="AD12" s="44">
        <f>(Constants!Q12*Constants!R12)/Constants!L12*('Minimum Compliance'!S12*J12)</f>
        <v>11710030.542344162</v>
      </c>
      <c r="AE12" s="42">
        <f>Constants!Q12/Constants!M12*'Minimum Compliance'!T12*(1-I12)</f>
        <v>3611646.033726593</v>
      </c>
      <c r="AF12" s="42">
        <f>(Constants!Q12*Constants!R12)/Constants!M12*'Minimum Compliance'!S12*(1-J12)</f>
        <v>8224902.4047417343</v>
      </c>
      <c r="AG12" s="9">
        <f t="shared" si="13"/>
        <v>37258.591041062609</v>
      </c>
      <c r="AH12" s="28">
        <f>(AG12*Constants!I12*Constants!K12+'Minimum Compliance'!AG12*(1-Constants!I12)*Constants!J12)*0.000453592</f>
        <v>10591.439000675422</v>
      </c>
      <c r="AI12" s="33">
        <f t="shared" si="6"/>
        <v>10061.312870704151</v>
      </c>
      <c r="AJ12" s="48">
        <f t="shared" si="17"/>
        <v>45068.20234981252</v>
      </c>
      <c r="AL12" s="7">
        <v>2029</v>
      </c>
      <c r="AM12" s="59">
        <f>(S12+T12+S30+T30+S48+T48)/(Constants!P12+Constants!O12+Constants!N12)</f>
        <v>0.10738782642598456</v>
      </c>
      <c r="AN12" s="53">
        <f t="shared" si="14"/>
        <v>23967.79741008682</v>
      </c>
      <c r="AO12" s="53">
        <f t="shared" si="7"/>
        <v>12492.897024948828</v>
      </c>
      <c r="AP12" s="53">
        <f t="shared" si="8"/>
        <v>11474.900385137993</v>
      </c>
      <c r="AQ12" s="53">
        <f t="shared" si="9"/>
        <v>52241.901608268679</v>
      </c>
      <c r="AR12" s="53">
        <f t="shared" si="10"/>
        <v>7.6367835093116732</v>
      </c>
      <c r="AS12" s="54">
        <f t="shared" si="15"/>
        <v>43.265649730194532</v>
      </c>
    </row>
    <row r="13" spans="1:46" x14ac:dyDescent="0.25">
      <c r="A13" s="26">
        <v>2030</v>
      </c>
      <c r="B13" s="88">
        <v>0</v>
      </c>
      <c r="C13" s="63">
        <f>Constants!E13</f>
        <v>0.27272727272727271</v>
      </c>
      <c r="D13" s="82">
        <v>350</v>
      </c>
      <c r="E13" s="82">
        <v>78</v>
      </c>
      <c r="F13" s="82">
        <v>350</v>
      </c>
      <c r="G13" s="82">
        <v>60</v>
      </c>
      <c r="H13" s="90">
        <v>0.03</v>
      </c>
      <c r="I13" s="90">
        <v>0.8</v>
      </c>
      <c r="J13" s="83">
        <v>0.5</v>
      </c>
      <c r="K13" s="18"/>
      <c r="L13" s="61">
        <v>2030</v>
      </c>
      <c r="M13" s="34">
        <f>Constants!N13*Constants!B13-B13</f>
        <v>24319.142169415136</v>
      </c>
      <c r="N13" s="9">
        <f t="shared" si="0"/>
        <v>4</v>
      </c>
      <c r="O13" s="9">
        <f t="shared" si="1"/>
        <v>0.99</v>
      </c>
      <c r="P13" s="9">
        <f t="shared" si="2"/>
        <v>0.996</v>
      </c>
      <c r="Q13" s="9">
        <f t="shared" si="11"/>
        <v>4</v>
      </c>
      <c r="R13" s="9">
        <f t="shared" si="3"/>
        <v>0.996</v>
      </c>
      <c r="S13" s="9">
        <f t="shared" si="4"/>
        <v>6659.1298382845389</v>
      </c>
      <c r="T13" s="9">
        <f t="shared" si="5"/>
        <v>4421.662212620934</v>
      </c>
      <c r="U13" s="15">
        <f>(S13+T13)/Constants!N13</f>
        <v>0.10024096385542168</v>
      </c>
      <c r="V13" s="42">
        <f>(Constants!Q13*I13*Constants!F13*T13*0.000001)</f>
        <v>6834.1211158269152</v>
      </c>
      <c r="W13" s="42">
        <f>(Constants!Q13*(1-I13)*Constants!G13*T13*0.000001)</f>
        <v>2471.2670106338396</v>
      </c>
      <c r="X13" s="42">
        <f>(Constants!Q13*Constants!R13*J13*Constants!F13*S13*0.000001)</f>
        <v>4824.5395678371488</v>
      </c>
      <c r="Y13" s="42">
        <f>(Constants!Q13*Constants!R13*(1-J13)*Constants!G13*S13*0.000001)</f>
        <v>6978.3518749073037</v>
      </c>
      <c r="Z13" s="28">
        <f t="shared" si="12"/>
        <v>21108.27956920521</v>
      </c>
      <c r="AA13" s="43">
        <f>Constants!Q13*Constants!H13*(T13+S13)/1000000</f>
        <v>6.3714554292706467</v>
      </c>
      <c r="AB13" s="43">
        <f t="shared" si="16"/>
        <v>38.865666618315821</v>
      </c>
      <c r="AC13" s="44">
        <f>Constants!Q13/Constants!L13*('Minimum Compliance'!T13*I13)</f>
        <v>13789590.629190709</v>
      </c>
      <c r="AD13" s="44">
        <f>(Constants!Q13*Constants!R13)/Constants!L13*('Minimum Compliance'!S13*J13)</f>
        <v>9734744.8907125667</v>
      </c>
      <c r="AE13" s="42">
        <f>Constants!Q13/Constants!M13*'Minimum Compliance'!T13*(1-I13)</f>
        <v>3632079.6746529103</v>
      </c>
      <c r="AF13" s="42">
        <f>(Constants!Q13*Constants!R13)/Constants!M13*'Minimum Compliance'!S13*(1-J13)</f>
        <v>10256249.081286456</v>
      </c>
      <c r="AG13" s="9">
        <f t="shared" si="13"/>
        <v>37412.664275842646</v>
      </c>
      <c r="AH13" s="28">
        <f>(AG13*Constants!I13*Constants!K13+'Minimum Compliance'!AG13*(1-Constants!I13)*Constants!J13)*0.000453592</f>
        <v>10364.28339591441</v>
      </c>
      <c r="AI13" s="33">
        <f t="shared" si="6"/>
        <v>10743.9961732908</v>
      </c>
      <c r="AJ13" s="48">
        <f t="shared" si="17"/>
        <v>55812.198523103318</v>
      </c>
      <c r="AL13" s="7">
        <v>2030</v>
      </c>
      <c r="AM13" s="59">
        <f>(S13+T13+S31+T31+S49+T49)/(Constants!P13+Constants!O13+Constants!N13)</f>
        <v>0.10651345343684569</v>
      </c>
      <c r="AN13" s="53">
        <f t="shared" si="14"/>
        <v>24362.630214992889</v>
      </c>
      <c r="AO13" s="53">
        <f t="shared" si="7"/>
        <v>12183.371316768302</v>
      </c>
      <c r="AP13" s="53">
        <f t="shared" si="8"/>
        <v>12179.258898224589</v>
      </c>
      <c r="AQ13" s="53">
        <f t="shared" si="9"/>
        <v>64421.160506493274</v>
      </c>
      <c r="AR13" s="53">
        <f t="shared" si="10"/>
        <v>7.6174582012558885</v>
      </c>
      <c r="AS13" s="54">
        <f t="shared" si="15"/>
        <v>51.662450080020911</v>
      </c>
    </row>
    <row r="14" spans="1:46" x14ac:dyDescent="0.25">
      <c r="A14" s="26">
        <v>2031</v>
      </c>
      <c r="B14" s="88">
        <v>0</v>
      </c>
      <c r="C14" s="63">
        <f>Constants!E14</f>
        <v>0.27272727272727271</v>
      </c>
      <c r="D14" s="82">
        <v>350</v>
      </c>
      <c r="E14" s="82">
        <v>80</v>
      </c>
      <c r="F14" s="82">
        <v>350</v>
      </c>
      <c r="G14" s="82">
        <v>63</v>
      </c>
      <c r="H14" s="90">
        <v>0.03</v>
      </c>
      <c r="I14" s="90">
        <v>0.8</v>
      </c>
      <c r="J14" s="83">
        <v>0.4</v>
      </c>
      <c r="K14" s="18"/>
      <c r="L14" s="61">
        <v>2031</v>
      </c>
      <c r="M14" s="34">
        <f>Constants!N14*Constants!B14-B14</f>
        <v>24404.554788487145</v>
      </c>
      <c r="N14" s="9">
        <f t="shared" si="0"/>
        <v>4</v>
      </c>
      <c r="O14" s="9">
        <f t="shared" si="1"/>
        <v>0.998</v>
      </c>
      <c r="P14" s="9">
        <f t="shared" si="2"/>
        <v>1.004</v>
      </c>
      <c r="Q14" s="9">
        <f t="shared" si="11"/>
        <v>4</v>
      </c>
      <c r="R14" s="9">
        <f t="shared" si="3"/>
        <v>1.004</v>
      </c>
      <c r="S14" s="9">
        <f t="shared" si="4"/>
        <v>6629.2705872384495</v>
      </c>
      <c r="T14" s="9">
        <f t="shared" si="5"/>
        <v>4437.1917797249353</v>
      </c>
      <c r="U14" s="15">
        <f>(S14+T14)/Constants!N14</f>
        <v>9.9760956175298801E-2</v>
      </c>
      <c r="V14" s="42">
        <f>(Constants!Q14*I14*Constants!F14*T14*0.000001)</f>
        <v>6858.1236147428599</v>
      </c>
      <c r="W14" s="42">
        <f>(Constants!Q14*(1-I14)*Constants!G14*T14*0.000001)</f>
        <v>2479.9464856882655</v>
      </c>
      <c r="X14" s="42">
        <f>(Constants!Q14*Constants!R14*J14*Constants!F14*S14*0.000001)</f>
        <v>3842.3252323634051</v>
      </c>
      <c r="Y14" s="42">
        <f>(Constants!Q14*Constants!R14*(1-J14)*Constants!G14*S14*0.000001)</f>
        <v>8336.4734952170311</v>
      </c>
      <c r="Z14" s="28">
        <f t="shared" si="12"/>
        <v>21516.86882801156</v>
      </c>
      <c r="AA14" s="43">
        <f>Constants!Q14*Constants!H14*(T14+S14)/1000000</f>
        <v>6.3632158610039458</v>
      </c>
      <c r="AB14" s="43">
        <f t="shared" si="16"/>
        <v>45.228882479319765</v>
      </c>
      <c r="AC14" s="44">
        <f>Constants!Q14/Constants!L14*('Minimum Compliance'!T14*I14)</f>
        <v>13838021.821515052</v>
      </c>
      <c r="AD14" s="44">
        <f>(Constants!Q14*Constants!R14)/Constants!L14*('Minimum Compliance'!S14*J14)</f>
        <v>7752875.7715161527</v>
      </c>
      <c r="AE14" s="42">
        <f>Constants!Q14/Constants!M14*'Minimum Compliance'!T14*(1-I14)</f>
        <v>3644836.1047740541</v>
      </c>
      <c r="AF14" s="42">
        <f>(Constants!Q14*Constants!R14)/Constants!M14*'Minimum Compliance'!S14*(1-J14)</f>
        <v>12252312.603199637</v>
      </c>
      <c r="AG14" s="9">
        <f t="shared" si="13"/>
        <v>37488.046301004892</v>
      </c>
      <c r="AH14" s="28">
        <f>(AG14*Constants!I14*Constants!K14+'Minimum Compliance'!AG14*(1-Constants!I14)*Constants!J14)*0.000453592</f>
        <v>10257.600438596213</v>
      </c>
      <c r="AI14" s="33">
        <f t="shared" si="6"/>
        <v>11259.268389415347</v>
      </c>
      <c r="AJ14" s="48">
        <f t="shared" si="17"/>
        <v>67071.466912518663</v>
      </c>
      <c r="AL14" s="7">
        <v>2031</v>
      </c>
      <c r="AM14" s="59">
        <f>(S14+T14+S32+T32+S50+T50)/(Constants!P14+Constants!O14+Constants!N14)</f>
        <v>0.10580622558277963</v>
      </c>
      <c r="AN14" s="53">
        <f t="shared" si="14"/>
        <v>24731.89920107109</v>
      </c>
      <c r="AO14" s="53">
        <f t="shared" si="7"/>
        <v>12032.634752158054</v>
      </c>
      <c r="AP14" s="53">
        <f t="shared" si="8"/>
        <v>12699.264448913036</v>
      </c>
      <c r="AQ14" s="53">
        <f t="shared" si="9"/>
        <v>77120.424955406314</v>
      </c>
      <c r="AR14" s="53">
        <f t="shared" si="10"/>
        <v>7.5934558764558382</v>
      </c>
      <c r="AS14" s="54">
        <f t="shared" si="15"/>
        <v>60.032792427196938</v>
      </c>
    </row>
    <row r="15" spans="1:46" x14ac:dyDescent="0.25">
      <c r="A15" s="26">
        <v>2032</v>
      </c>
      <c r="B15" s="88">
        <v>0</v>
      </c>
      <c r="C15" s="63">
        <f>Constants!E15</f>
        <v>0.27272727272727271</v>
      </c>
      <c r="D15" s="82">
        <v>350</v>
      </c>
      <c r="E15" s="82">
        <v>80</v>
      </c>
      <c r="F15" s="82">
        <v>350</v>
      </c>
      <c r="G15" s="82">
        <v>66</v>
      </c>
      <c r="H15" s="90">
        <v>0.03</v>
      </c>
      <c r="I15" s="90">
        <v>0.8</v>
      </c>
      <c r="J15" s="83">
        <v>0.3</v>
      </c>
      <c r="K15" s="18"/>
      <c r="L15" s="61">
        <v>2032</v>
      </c>
      <c r="M15" s="34">
        <f>Constants!N15*Constants!B15-B15</f>
        <v>24608.802355833246</v>
      </c>
      <c r="N15" s="9">
        <f t="shared" si="0"/>
        <v>4</v>
      </c>
      <c r="O15" s="9">
        <f t="shared" si="1"/>
        <v>1.002</v>
      </c>
      <c r="P15" s="9">
        <f t="shared" si="2"/>
        <v>1.008</v>
      </c>
      <c r="Q15" s="9">
        <f t="shared" si="11"/>
        <v>4</v>
      </c>
      <c r="R15" s="9">
        <f t="shared" si="3"/>
        <v>1.008</v>
      </c>
      <c r="S15" s="9">
        <f t="shared" si="4"/>
        <v>6658.2257456258785</v>
      </c>
      <c r="T15" s="9">
        <f t="shared" si="5"/>
        <v>4474.3277010605907</v>
      </c>
      <c r="U15" s="15">
        <f>(S15+T15)/Constants!N15</f>
        <v>9.9523809523809542E-2</v>
      </c>
      <c r="V15" s="42">
        <f>(Constants!Q15*I15*Constants!F15*T15*0.000001)</f>
        <v>6915.5208947592482</v>
      </c>
      <c r="W15" s="42">
        <f>(Constants!Q15*(1-I15)*Constants!G15*T15*0.000001)</f>
        <v>2500.7017521227635</v>
      </c>
      <c r="X15" s="42">
        <f>(Constants!Q15*Constants!R15*J15*Constants!F15*S15*0.000001)</f>
        <v>2894.3307316235691</v>
      </c>
      <c r="Y15" s="42">
        <f>(Constants!Q15*Constants!R15*(1-J15)*Constants!G15*S15*0.000001)</f>
        <v>9768.3662192295469</v>
      </c>
      <c r="Z15" s="28">
        <f t="shared" si="12"/>
        <v>22078.919597735126</v>
      </c>
      <c r="AA15" s="43">
        <f>Constants!Q15*Constants!H15*(T15+S15)/1000000</f>
        <v>6.4012182318447204</v>
      </c>
      <c r="AB15" s="43">
        <f t="shared" si="16"/>
        <v>51.630100711164488</v>
      </c>
      <c r="AC15" s="44">
        <f>Constants!Q15/Constants!L15*('Minimum Compliance'!T15*I15)</f>
        <v>13953835.542290656</v>
      </c>
      <c r="AD15" s="44">
        <f>(Constants!Q15*Constants!R15)/Constants!L15*('Minimum Compliance'!S15*J15)</f>
        <v>5840053.9379006634</v>
      </c>
      <c r="AE15" s="42">
        <f>Constants!Q15/Constants!M15*'Minimum Compliance'!T15*(1-I15)</f>
        <v>3675340.6115854853</v>
      </c>
      <c r="AF15" s="42">
        <f>(Constants!Q15*Constants!R15)/Constants!M15*'Minimum Compliance'!S15*(1-J15)</f>
        <v>14356799.264005801</v>
      </c>
      <c r="AG15" s="9">
        <f t="shared" si="13"/>
        <v>37826.029355782608</v>
      </c>
      <c r="AH15" s="28">
        <f>(AG15*Constants!I15*Constants!K15+'Minimum Compliance'!AG15*(1-Constants!I15)*Constants!J15)*0.000453592</f>
        <v>9297.0617472510876</v>
      </c>
      <c r="AI15" s="33">
        <f t="shared" si="6"/>
        <v>12781.857850484039</v>
      </c>
      <c r="AJ15" s="48">
        <f t="shared" si="17"/>
        <v>79853.324763002704</v>
      </c>
      <c r="AL15" s="7">
        <v>2032</v>
      </c>
      <c r="AM15" s="59">
        <f>(S15+T15+S33+T33+S51+T51)/(Constants!P15+Constants!O15+Constants!N15)</f>
        <v>0.10559545752269085</v>
      </c>
      <c r="AN15" s="53">
        <f t="shared" si="14"/>
        <v>25320.857330438484</v>
      </c>
      <c r="AO15" s="53">
        <f t="shared" si="7"/>
        <v>10904.848076414428</v>
      </c>
      <c r="AP15" s="53">
        <f t="shared" si="8"/>
        <v>14416.009254024055</v>
      </c>
      <c r="AQ15" s="53">
        <f t="shared" si="9"/>
        <v>91536.434209430372</v>
      </c>
      <c r="AR15" s="53">
        <f t="shared" si="10"/>
        <v>7.6417544208013402</v>
      </c>
      <c r="AS15" s="54">
        <f t="shared" si="15"/>
        <v>68.456374742790473</v>
      </c>
    </row>
    <row r="16" spans="1:46" x14ac:dyDescent="0.25">
      <c r="A16" s="26">
        <v>2033</v>
      </c>
      <c r="B16" s="88">
        <v>0</v>
      </c>
      <c r="C16" s="63">
        <f>Constants!E16</f>
        <v>0.27272727272727271</v>
      </c>
      <c r="D16" s="82">
        <v>350</v>
      </c>
      <c r="E16" s="82">
        <v>80</v>
      </c>
      <c r="F16" s="82">
        <v>350</v>
      </c>
      <c r="G16" s="82">
        <v>69</v>
      </c>
      <c r="H16" s="90">
        <v>0.03</v>
      </c>
      <c r="I16" s="90">
        <v>0.7</v>
      </c>
      <c r="J16" s="83">
        <v>0.2</v>
      </c>
      <c r="K16" s="18"/>
      <c r="L16" s="61">
        <v>2033</v>
      </c>
      <c r="M16" s="34">
        <f>Constants!N16*Constants!B16-B16</f>
        <v>24689.328669466355</v>
      </c>
      <c r="N16" s="9">
        <f t="shared" si="0"/>
        <v>4</v>
      </c>
      <c r="O16" s="9">
        <f t="shared" si="1"/>
        <v>1.012</v>
      </c>
      <c r="P16" s="9">
        <f t="shared" si="2"/>
        <v>1.018</v>
      </c>
      <c r="Q16" s="9">
        <f t="shared" si="11"/>
        <v>4</v>
      </c>
      <c r="R16" s="9">
        <f t="shared" si="3"/>
        <v>1.018</v>
      </c>
      <c r="S16" s="9">
        <f t="shared" si="4"/>
        <v>6614.3941782817519</v>
      </c>
      <c r="T16" s="9">
        <f t="shared" si="5"/>
        <v>4488.9688489938826</v>
      </c>
      <c r="U16" s="15">
        <f>(S16+T16)/Constants!N16</f>
        <v>9.8939096267190565E-2</v>
      </c>
      <c r="V16" s="42">
        <f>(Constants!Q16*I16*Constants!F16*T16*0.000001)</f>
        <v>6070.8814713793254</v>
      </c>
      <c r="W16" s="42">
        <f>(Constants!Q16*(1-I16)*Constants!G16*T16*0.000001)</f>
        <v>3763.3270345540218</v>
      </c>
      <c r="X16" s="42">
        <f>(Constants!Q16*Constants!R16*J16*Constants!F16*S16*0.000001)</f>
        <v>1916.8514328660515</v>
      </c>
      <c r="Y16" s="42">
        <f>(Constants!Q16*Constants!R16*(1-J16)*Constants!G16*S16*0.000001)</f>
        <v>11090.354718725013</v>
      </c>
      <c r="Z16" s="28">
        <f t="shared" si="12"/>
        <v>22841.414657524412</v>
      </c>
      <c r="AA16" s="43">
        <f>Constants!Q16*Constants!H16*(T16+S16)/1000000</f>
        <v>6.3844337406834892</v>
      </c>
      <c r="AB16" s="43">
        <f t="shared" si="16"/>
        <v>58.014534451847979</v>
      </c>
      <c r="AC16" s="44">
        <f>Constants!Q16/Constants!L16*('Minimum Compliance'!T16*I16)</f>
        <v>12249559.062508728</v>
      </c>
      <c r="AD16" s="44">
        <f>(Constants!Q16*Constants!R16)/Constants!L16*('Minimum Compliance'!S16*J16)</f>
        <v>3867738.9686562787</v>
      </c>
      <c r="AE16" s="42">
        <f>Constants!Q16/Constants!M16*'Minimum Compliance'!T16*(1-I16)</f>
        <v>5531050.903224607</v>
      </c>
      <c r="AF16" s="42">
        <f>(Constants!Q16*Constants!R16)/Constants!M16*'Minimum Compliance'!S16*(1-J16)</f>
        <v>16299757.082194321</v>
      </c>
      <c r="AG16" s="9">
        <f t="shared" si="13"/>
        <v>37948.106016583937</v>
      </c>
      <c r="AH16" s="28">
        <f>(AG16*Constants!I16*Constants!K16+'Minimum Compliance'!AG16*(1-Constants!I16)*Constants!J16)*0.000453592</f>
        <v>9757.1448240819554</v>
      </c>
      <c r="AI16" s="33">
        <f t="shared" si="6"/>
        <v>13084.269833442457</v>
      </c>
      <c r="AJ16" s="48">
        <f t="shared" si="17"/>
        <v>92937.594596445153</v>
      </c>
      <c r="AL16" s="7">
        <v>2033</v>
      </c>
      <c r="AM16" s="59">
        <f>(S16+T16+S34+T34+S52+T52)/(Constants!P16+Constants!O16+Constants!N16)</f>
        <v>0.10507578381854263</v>
      </c>
      <c r="AN16" s="53">
        <f t="shared" si="14"/>
        <v>26093.960842068205</v>
      </c>
      <c r="AO16" s="53">
        <f t="shared" si="7"/>
        <v>11444.571149986255</v>
      </c>
      <c r="AP16" s="53">
        <f t="shared" si="8"/>
        <v>14649.389692081948</v>
      </c>
      <c r="AQ16" s="53">
        <f t="shared" si="9"/>
        <v>106185.82390151231</v>
      </c>
      <c r="AR16" s="53">
        <f t="shared" si="10"/>
        <v>7.6290292822563259</v>
      </c>
      <c r="AS16" s="54">
        <f t="shared" si="15"/>
        <v>76.865930010914454</v>
      </c>
    </row>
    <row r="17" spans="1:45" x14ac:dyDescent="0.25">
      <c r="A17" s="26">
        <v>2034</v>
      </c>
      <c r="B17" s="88">
        <v>0</v>
      </c>
      <c r="C17" s="63">
        <f>Constants!E17</f>
        <v>0.27272727272727271</v>
      </c>
      <c r="D17" s="82">
        <v>350</v>
      </c>
      <c r="E17" s="82">
        <v>80</v>
      </c>
      <c r="F17" s="82">
        <v>350</v>
      </c>
      <c r="G17" s="82">
        <v>71</v>
      </c>
      <c r="H17" s="90">
        <v>0.03</v>
      </c>
      <c r="I17" s="90">
        <v>0.7</v>
      </c>
      <c r="J17" s="83">
        <v>0.1</v>
      </c>
      <c r="K17" s="18"/>
      <c r="L17" s="61">
        <v>2034</v>
      </c>
      <c r="M17" s="34">
        <f>Constants!N17*Constants!B17-B17</f>
        <v>24862.890238656149</v>
      </c>
      <c r="N17" s="9">
        <f t="shared" si="0"/>
        <v>4</v>
      </c>
      <c r="O17" s="9">
        <f t="shared" si="1"/>
        <v>1.0190000000000001</v>
      </c>
      <c r="P17" s="9">
        <f t="shared" si="2"/>
        <v>1.0250000000000001</v>
      </c>
      <c r="Q17" s="9">
        <f t="shared" si="11"/>
        <v>4</v>
      </c>
      <c r="R17" s="9">
        <f t="shared" si="3"/>
        <v>1.0250000000000001</v>
      </c>
      <c r="S17" s="9">
        <f t="shared" si="4"/>
        <v>6615.4031677133871</v>
      </c>
      <c r="T17" s="9">
        <f t="shared" si="5"/>
        <v>4520.5254979374822</v>
      </c>
      <c r="U17" s="15">
        <f>(S17+T17)/Constants!N17</f>
        <v>9.8536585365853663E-2</v>
      </c>
      <c r="V17" s="42">
        <f>(Constants!Q17*I17*Constants!F17*T17*0.000001)</f>
        <v>6113.5586834106498</v>
      </c>
      <c r="W17" s="42">
        <f>(Constants!Q17*(1-I17)*Constants!G17*T17*0.000001)</f>
        <v>3789.7825511958886</v>
      </c>
      <c r="X17" s="42">
        <f>(Constants!Q17*Constants!R17*J17*Constants!F17*S17*0.000001)</f>
        <v>958.5719190016697</v>
      </c>
      <c r="Y17" s="42">
        <f>(Constants!Q17*Constants!R17*(1-J17)*Constants!G17*S17*0.000001)</f>
        <v>12478.552302718166</v>
      </c>
      <c r="Z17" s="28">
        <f t="shared" si="12"/>
        <v>23340.465456326376</v>
      </c>
      <c r="AA17" s="43">
        <f>Constants!Q17*Constants!H17*(T17+S17)/1000000</f>
        <v>6.4031589827492503</v>
      </c>
      <c r="AB17" s="43">
        <f t="shared" si="16"/>
        <v>64.417693434597226</v>
      </c>
      <c r="AC17" s="44">
        <f>Constants!Q17/Constants!L17*('Minimum Compliance'!T17*I17)</f>
        <v>12335671.274032788</v>
      </c>
      <c r="AD17" s="44">
        <f>(Constants!Q17*Constants!R17)/Constants!L17*('Minimum Compliance'!S17*J17)</f>
        <v>1934164.4854755241</v>
      </c>
      <c r="AE17" s="42">
        <f>Constants!Q17/Constants!M17*'Minimum Compliance'!T17*(1-I17)</f>
        <v>5569933.2028158288</v>
      </c>
      <c r="AF17" s="42">
        <f>(Constants!Q17*Constants!R17)/Constants!M17*'Minimum Compliance'!S17*(1-J17)</f>
        <v>18340023.960491132</v>
      </c>
      <c r="AG17" s="9">
        <f t="shared" si="13"/>
        <v>38179.792922815279</v>
      </c>
      <c r="AH17" s="28">
        <f>(AG17*Constants!I17*Constants!K17+'Minimum Compliance'!AG17*(1-Constants!I17)*Constants!J17)*0.000453592</f>
        <v>9787.1439685227779</v>
      </c>
      <c r="AI17" s="33">
        <f t="shared" si="6"/>
        <v>13553.321487803598</v>
      </c>
      <c r="AJ17" s="48">
        <f t="shared" si="17"/>
        <v>106490.91608424875</v>
      </c>
      <c r="AL17" s="7">
        <v>2034</v>
      </c>
      <c r="AM17" s="59">
        <f>(S17+T17+S35+T35+S53+T53)/(Constants!P17+Constants!O17+Constants!N17)</f>
        <v>0.10471804551059437</v>
      </c>
      <c r="AN17" s="53">
        <f t="shared" si="14"/>
        <v>26615.876459400042</v>
      </c>
      <c r="AO17" s="53">
        <f t="shared" si="7"/>
        <v>11481.313684098841</v>
      </c>
      <c r="AP17" s="53">
        <f t="shared" si="8"/>
        <v>15134.5627753012</v>
      </c>
      <c r="AQ17" s="53">
        <f t="shared" si="9"/>
        <v>121320.3866768135</v>
      </c>
      <c r="AR17" s="53">
        <f t="shared" si="10"/>
        <v>7.6565038086017028</v>
      </c>
      <c r="AS17" s="54">
        <f t="shared" si="15"/>
        <v>85.305770724174195</v>
      </c>
    </row>
    <row r="18" spans="1:45" ht="15.75" thickBot="1" x14ac:dyDescent="0.3">
      <c r="A18" s="26">
        <v>2035</v>
      </c>
      <c r="B18" s="89">
        <v>0</v>
      </c>
      <c r="C18" s="64">
        <f>Constants!E18</f>
        <v>0.27272727272727271</v>
      </c>
      <c r="D18" s="85">
        <v>350</v>
      </c>
      <c r="E18" s="85">
        <v>80</v>
      </c>
      <c r="F18" s="85">
        <v>350</v>
      </c>
      <c r="G18" s="85">
        <v>74</v>
      </c>
      <c r="H18" s="91">
        <v>0.03</v>
      </c>
      <c r="I18" s="91">
        <v>0.7</v>
      </c>
      <c r="J18" s="86">
        <v>0.1</v>
      </c>
      <c r="K18" s="18"/>
      <c r="L18" s="61">
        <v>2035</v>
      </c>
      <c r="M18" s="35">
        <f>Constants!N18*Constants!B18-B18</f>
        <v>25041.729017719965</v>
      </c>
      <c r="N18" s="16">
        <f t="shared" si="0"/>
        <v>4</v>
      </c>
      <c r="O18" s="16">
        <f t="shared" si="1"/>
        <v>1.046</v>
      </c>
      <c r="P18" s="16">
        <f t="shared" si="2"/>
        <v>1.052</v>
      </c>
      <c r="Q18" s="27">
        <f t="shared" si="11"/>
        <v>4</v>
      </c>
      <c r="R18" s="16">
        <f t="shared" si="3"/>
        <v>1.052</v>
      </c>
      <c r="S18" s="16">
        <f t="shared" si="4"/>
        <v>6491.9795241237371</v>
      </c>
      <c r="T18" s="16">
        <f t="shared" si="5"/>
        <v>4553.0416395854481</v>
      </c>
      <c r="U18" s="115">
        <f>(S18+T18)/Constants!N18</f>
        <v>9.7034220532319387E-2</v>
      </c>
      <c r="V18" s="116">
        <f>(Constants!Q18*I18*Constants!F18*T18*0.000001)</f>
        <v>6157.5335133753579</v>
      </c>
      <c r="W18" s="116">
        <f>(Constants!Q18*(1-I18)*Constants!G18*T18*0.000001)</f>
        <v>3817.0424585464611</v>
      </c>
      <c r="X18" s="116">
        <f>(Constants!Q18*Constants!R18*J18*Constants!F18*S18*0.000001)</f>
        <v>940.68783304552949</v>
      </c>
      <c r="Y18" s="116">
        <f>(Constants!Q18*Constants!R18*(1-J18)*Constants!G18*S18*0.000001)</f>
        <v>12245.739826610554</v>
      </c>
      <c r="Z18" s="47">
        <f t="shared" si="12"/>
        <v>23161.0036315779</v>
      </c>
      <c r="AA18" s="49">
        <f>Constants!Q18*Constants!H18*(T18+S18)/1000000</f>
        <v>6.3508871691327808</v>
      </c>
      <c r="AB18" s="49">
        <f t="shared" si="16"/>
        <v>70.768580603730001</v>
      </c>
      <c r="AC18" s="118">
        <f>Constants!Q18/Constants!L18*('Minimum Compliance'!T18*I18)</f>
        <v>12424401.762258595</v>
      </c>
      <c r="AD18" s="118">
        <f>(Constants!Q18*Constants!R18)/Constants!L18*('Minimum Compliance'!S18*J18)</f>
        <v>1898078.7591717704</v>
      </c>
      <c r="AE18" s="116">
        <f>Constants!Q18/Constants!M18*'Minimum Compliance'!T18*(1-I18)</f>
        <v>5609997.7344892137</v>
      </c>
      <c r="AF18" s="116">
        <f>(Constants!Q18*Constants!R18)/Constants!M18*'Minimum Compliance'!S18*(1-J18)</f>
        <v>17997853.948575184</v>
      </c>
      <c r="AG18" s="27">
        <f t="shared" si="13"/>
        <v>37930.332204494764</v>
      </c>
      <c r="AH18" s="47">
        <f>(AG18*Constants!I18*Constants!K18+'Minimum Compliance'!AG18*(1-Constants!I18)*Constants!J18)*0.000453592</f>
        <v>9713.7727852252356</v>
      </c>
      <c r="AI18" s="36">
        <f t="shared" si="6"/>
        <v>13447.230846352664</v>
      </c>
      <c r="AJ18" s="51">
        <f t="shared" si="17"/>
        <v>119938.14693060142</v>
      </c>
      <c r="AL18" s="7">
        <v>2035</v>
      </c>
      <c r="AM18" s="60">
        <f>(S18+T18+S36+T36+S54+T54)/(Constants!P18+Constants!O18+Constants!N18)</f>
        <v>0.10338279359149249</v>
      </c>
      <c r="AN18" s="55">
        <f t="shared" si="14"/>
        <v>26459.974667258357</v>
      </c>
      <c r="AO18" s="55">
        <f t="shared" si="7"/>
        <v>11418.474896871257</v>
      </c>
      <c r="AP18" s="55">
        <f t="shared" si="8"/>
        <v>15041.499770387101</v>
      </c>
      <c r="AQ18" s="55">
        <f t="shared" si="9"/>
        <v>136361.88644720061</v>
      </c>
      <c r="AR18" s="55">
        <f t="shared" si="10"/>
        <v>6.4566800097555399</v>
      </c>
      <c r="AS18" s="54">
        <f t="shared" si="15"/>
        <v>92.4230336657278</v>
      </c>
    </row>
    <row r="20" spans="1:45" ht="15.75" thickBot="1" x14ac:dyDescent="0.3">
      <c r="B20" s="28" t="s">
        <v>208</v>
      </c>
      <c r="C20" s="9"/>
      <c r="D20" s="9"/>
      <c r="E20" s="9"/>
      <c r="F20" s="9"/>
      <c r="G20" s="9"/>
      <c r="H20" s="9"/>
      <c r="I20" s="9"/>
      <c r="J20" s="9"/>
      <c r="T20" s="22" t="s">
        <v>156</v>
      </c>
    </row>
    <row r="21" spans="1:45" ht="60" x14ac:dyDescent="0.25">
      <c r="B21" s="29" t="s">
        <v>157</v>
      </c>
      <c r="C21" s="30" t="s">
        <v>158</v>
      </c>
      <c r="D21" s="30" t="s">
        <v>159</v>
      </c>
      <c r="E21" s="30" t="s">
        <v>160</v>
      </c>
      <c r="F21" s="30" t="s">
        <v>161</v>
      </c>
      <c r="G21" s="30" t="s">
        <v>162</v>
      </c>
      <c r="H21" s="30" t="s">
        <v>163</v>
      </c>
      <c r="I21" s="30" t="s">
        <v>164</v>
      </c>
      <c r="J21" s="31" t="s">
        <v>165</v>
      </c>
      <c r="K21" s="2"/>
      <c r="M21" s="45" t="s">
        <v>166</v>
      </c>
      <c r="N21" s="46" t="s">
        <v>167</v>
      </c>
      <c r="O21" s="46" t="s">
        <v>168</v>
      </c>
      <c r="P21" s="46" t="s">
        <v>169</v>
      </c>
      <c r="Q21" s="46" t="s">
        <v>170</v>
      </c>
      <c r="R21" s="46" t="s">
        <v>171</v>
      </c>
      <c r="S21" s="40" t="s">
        <v>172</v>
      </c>
      <c r="T21" s="40" t="s">
        <v>173</v>
      </c>
      <c r="U21" s="40" t="s">
        <v>174</v>
      </c>
      <c r="V21" s="40" t="s">
        <v>175</v>
      </c>
      <c r="W21" s="40" t="s">
        <v>176</v>
      </c>
      <c r="X21" s="40" t="s">
        <v>177</v>
      </c>
      <c r="Y21" s="40" t="s">
        <v>178</v>
      </c>
      <c r="Z21" s="40" t="s">
        <v>179</v>
      </c>
      <c r="AA21" s="40" t="s">
        <v>180</v>
      </c>
      <c r="AB21" s="40" t="s">
        <v>235</v>
      </c>
      <c r="AC21" s="40" t="s">
        <v>181</v>
      </c>
      <c r="AD21" s="40" t="s">
        <v>236</v>
      </c>
      <c r="AE21" s="40" t="s">
        <v>182</v>
      </c>
      <c r="AF21" s="40" t="s">
        <v>237</v>
      </c>
      <c r="AG21" s="40" t="s">
        <v>183</v>
      </c>
      <c r="AH21" s="40" t="s">
        <v>184</v>
      </c>
      <c r="AI21" s="40" t="s">
        <v>185</v>
      </c>
      <c r="AJ21" s="65" t="s">
        <v>186</v>
      </c>
      <c r="AK21" s="2"/>
    </row>
    <row r="22" spans="1:45" ht="30" x14ac:dyDescent="0.25">
      <c r="B22" s="13" t="s">
        <v>45</v>
      </c>
      <c r="C22" s="3" t="s">
        <v>47</v>
      </c>
      <c r="D22" s="3" t="s">
        <v>188</v>
      </c>
      <c r="E22" s="3" t="s">
        <v>51</v>
      </c>
      <c r="F22" s="3" t="s">
        <v>53</v>
      </c>
      <c r="G22" s="3" t="s">
        <v>55</v>
      </c>
      <c r="H22" s="3" t="s">
        <v>57</v>
      </c>
      <c r="I22" s="3" t="s">
        <v>59</v>
      </c>
      <c r="J22" s="14" t="s">
        <v>61</v>
      </c>
      <c r="K22" s="2"/>
      <c r="M22" s="19" t="s">
        <v>189</v>
      </c>
      <c r="N22" s="12" t="s">
        <v>69</v>
      </c>
      <c r="O22" s="12" t="s">
        <v>71</v>
      </c>
      <c r="P22" s="12" t="s">
        <v>73</v>
      </c>
      <c r="Q22" s="12" t="s">
        <v>190</v>
      </c>
      <c r="R22" s="12" t="s">
        <v>191</v>
      </c>
      <c r="S22" s="12" t="s">
        <v>79</v>
      </c>
      <c r="T22" s="12" t="s">
        <v>81</v>
      </c>
      <c r="U22" s="12" t="s">
        <v>83</v>
      </c>
      <c r="V22" s="12" t="s">
        <v>85</v>
      </c>
      <c r="W22" s="12" t="s">
        <v>87</v>
      </c>
      <c r="X22" s="12" t="s">
        <v>89</v>
      </c>
      <c r="Y22" s="12" t="s">
        <v>91</v>
      </c>
      <c r="Z22" s="12" t="s">
        <v>93</v>
      </c>
      <c r="AA22" s="12" t="s">
        <v>192</v>
      </c>
      <c r="AB22" s="12" t="s">
        <v>96</v>
      </c>
      <c r="AC22" s="12" t="s">
        <v>98</v>
      </c>
      <c r="AD22" s="12" t="s">
        <v>100</v>
      </c>
      <c r="AE22" s="12" t="s">
        <v>102</v>
      </c>
      <c r="AF22" s="12" t="s">
        <v>104</v>
      </c>
      <c r="AG22" s="12" t="s">
        <v>106</v>
      </c>
      <c r="AH22" s="12" t="s">
        <v>108</v>
      </c>
      <c r="AI22" s="12" t="s">
        <v>110</v>
      </c>
      <c r="AJ22" s="32" t="s">
        <v>112</v>
      </c>
      <c r="AK22" s="2"/>
    </row>
    <row r="23" spans="1:45" ht="24.75" x14ac:dyDescent="0.25">
      <c r="B23" s="20" t="s">
        <v>193</v>
      </c>
      <c r="C23" s="17" t="s">
        <v>148</v>
      </c>
      <c r="D23" s="17" t="s">
        <v>194</v>
      </c>
      <c r="E23" s="17" t="s">
        <v>195</v>
      </c>
      <c r="F23" s="17" t="s">
        <v>196</v>
      </c>
      <c r="G23" s="17" t="s">
        <v>197</v>
      </c>
      <c r="H23" s="17" t="s">
        <v>148</v>
      </c>
      <c r="I23" s="17" t="s">
        <v>148</v>
      </c>
      <c r="J23" s="21" t="s">
        <v>148</v>
      </c>
      <c r="K23" s="17"/>
      <c r="M23" s="20" t="s">
        <v>193</v>
      </c>
      <c r="N23" s="10" t="s">
        <v>198</v>
      </c>
      <c r="O23" s="10" t="s">
        <v>198</v>
      </c>
      <c r="P23" s="10" t="s">
        <v>198</v>
      </c>
      <c r="Q23" s="10" t="s">
        <v>193</v>
      </c>
      <c r="R23" s="10" t="s">
        <v>193</v>
      </c>
      <c r="S23" s="10" t="s">
        <v>199</v>
      </c>
      <c r="T23" s="10" t="s">
        <v>200</v>
      </c>
      <c r="U23" s="10"/>
      <c r="V23" s="10" t="s">
        <v>201</v>
      </c>
      <c r="W23" s="10" t="s">
        <v>201</v>
      </c>
      <c r="X23" s="10" t="s">
        <v>201</v>
      </c>
      <c r="Y23" s="10" t="s">
        <v>201</v>
      </c>
      <c r="Z23" s="10" t="s">
        <v>201</v>
      </c>
      <c r="AA23" s="10" t="s">
        <v>202</v>
      </c>
      <c r="AB23" s="10" t="s">
        <v>202</v>
      </c>
      <c r="AC23" s="10" t="s">
        <v>203</v>
      </c>
      <c r="AD23" s="10" t="s">
        <v>203</v>
      </c>
      <c r="AE23" s="10" t="s">
        <v>203</v>
      </c>
      <c r="AF23" s="10" t="s">
        <v>203</v>
      </c>
      <c r="AG23" s="10" t="s">
        <v>204</v>
      </c>
      <c r="AH23" s="10" t="s">
        <v>205</v>
      </c>
      <c r="AI23" s="10" t="s">
        <v>206</v>
      </c>
      <c r="AJ23" s="25" t="s">
        <v>206</v>
      </c>
      <c r="AK23" s="10"/>
    </row>
    <row r="24" spans="1:45" x14ac:dyDescent="0.25">
      <c r="A24" s="7">
        <v>2023</v>
      </c>
      <c r="B24" s="88">
        <v>0</v>
      </c>
      <c r="C24" s="82">
        <v>0.9</v>
      </c>
      <c r="D24" s="82">
        <v>350</v>
      </c>
      <c r="E24" s="82">
        <v>53</v>
      </c>
      <c r="F24" s="82">
        <v>350</v>
      </c>
      <c r="G24" s="82">
        <v>41</v>
      </c>
      <c r="H24" s="90">
        <v>0.03</v>
      </c>
      <c r="I24" s="90">
        <v>1</v>
      </c>
      <c r="J24" s="83">
        <v>1</v>
      </c>
      <c r="K24" s="18"/>
      <c r="L24" s="7">
        <v>2023</v>
      </c>
      <c r="M24" s="34">
        <f>Constants!O6*Constants!B6-B24</f>
        <v>0</v>
      </c>
      <c r="N24" s="9">
        <f t="shared" ref="N24:N36" si="18">(D24*0.01+0.5)*I24+(F24*0.01+0.5)*(1-I24)</f>
        <v>4</v>
      </c>
      <c r="O24" s="9">
        <f t="shared" ref="O24:O36" si="19">(E24*0.01+0.3)*J24+(G24*0.01+0.3)*(1-J24)</f>
        <v>0.83000000000000007</v>
      </c>
      <c r="P24" s="9">
        <f t="shared" ref="P24:P36" si="20">O24+0.2*H24</f>
        <v>0.83600000000000008</v>
      </c>
      <c r="Q24" s="9">
        <f>IF(N24&gt;4,4,N24)</f>
        <v>4</v>
      </c>
      <c r="R24" s="9">
        <f t="shared" ref="R24:R36" si="21">IF(H24=0,IF(P24&gt;1.1,1.1,P24),IF(P24&gt;1.3,1.3,P24))</f>
        <v>0.83600000000000008</v>
      </c>
      <c r="S24" s="9">
        <f t="shared" ref="S24:S36" si="22">(M24*C24)/R24</f>
        <v>0</v>
      </c>
      <c r="T24" s="9">
        <f t="shared" ref="T24:T36" si="23">(M24-(M24*C24))/Q24</f>
        <v>0</v>
      </c>
      <c r="U24" s="15">
        <f>(S24+T24)/Constants!O6</f>
        <v>0</v>
      </c>
      <c r="V24" s="42">
        <f>(Constants!Q6*I24*Constants!F6*T24*0.000001)</f>
        <v>0</v>
      </c>
      <c r="W24" s="42">
        <f>(Constants!Q6*(1-I24)*Constants!G6*T24*0.000001)</f>
        <v>0</v>
      </c>
      <c r="X24" s="42">
        <f>(Constants!Q6*Constants!R6*J24*Constants!F6*S24*0.000001)</f>
        <v>0</v>
      </c>
      <c r="Y24" s="42">
        <f>(Constants!Q6*Constants!R6*(1-J24)*Constants!G6*S24*0.000001)</f>
        <v>0</v>
      </c>
      <c r="Z24" s="28">
        <f>V24+W24+X24+Y24</f>
        <v>0</v>
      </c>
      <c r="AA24" s="43">
        <f>Constants!Q6*Constants!H7*(T24+S24)/1000000</f>
        <v>0</v>
      </c>
      <c r="AB24" s="43">
        <f>AA24</f>
        <v>0</v>
      </c>
      <c r="AC24" s="44">
        <f>Constants!Q6/Constants!L6*('Minimum Compliance'!T24*I24)</f>
        <v>0</v>
      </c>
      <c r="AD24" s="44">
        <f>(Constants!Q6*Constants!R6)/Constants!L6*('Minimum Compliance'!S24*J24)</f>
        <v>0</v>
      </c>
      <c r="AE24" s="42">
        <f>Constants!Q6/Constants!M6*'Minimum Compliance'!T24*(1-I24)</f>
        <v>0</v>
      </c>
      <c r="AF24" s="42">
        <f>(Constants!Q6*Constants!R6)/Constants!M6*'Minimum Compliance'!S24*(1-J24)</f>
        <v>0</v>
      </c>
      <c r="AG24" s="9">
        <f>(AC24+AD24+AE24+AF24)*0.001</f>
        <v>0</v>
      </c>
      <c r="AH24" s="28">
        <f>(AG24*Constants!I6*Constants!K6+'Minimum Compliance'!AG24*(1-Constants!I6)*Constants!J6)*0.000453592</f>
        <v>0</v>
      </c>
      <c r="AI24" s="33">
        <f t="shared" ref="AI24:AI36" si="24">Z24-AH24</f>
        <v>0</v>
      </c>
      <c r="AJ24" s="48">
        <f>AI24</f>
        <v>0</v>
      </c>
    </row>
    <row r="25" spans="1:45" x14ac:dyDescent="0.25">
      <c r="A25" s="7">
        <v>2024</v>
      </c>
      <c r="B25" s="88">
        <v>0</v>
      </c>
      <c r="C25" s="82">
        <v>0.9</v>
      </c>
      <c r="D25" s="82">
        <v>350</v>
      </c>
      <c r="E25" s="82">
        <v>57</v>
      </c>
      <c r="F25" s="82">
        <v>350</v>
      </c>
      <c r="G25" s="82">
        <v>44</v>
      </c>
      <c r="H25" s="90">
        <v>0.03</v>
      </c>
      <c r="I25" s="90">
        <v>1</v>
      </c>
      <c r="J25" s="83">
        <v>1</v>
      </c>
      <c r="K25" s="18"/>
      <c r="L25" s="7">
        <v>2024</v>
      </c>
      <c r="M25" s="34">
        <f>Constants!O7*Constants!B7-B25</f>
        <v>0</v>
      </c>
      <c r="N25" s="9">
        <f t="shared" si="18"/>
        <v>4</v>
      </c>
      <c r="O25" s="9">
        <f t="shared" si="19"/>
        <v>0.87000000000000011</v>
      </c>
      <c r="P25" s="9">
        <f t="shared" si="20"/>
        <v>0.87600000000000011</v>
      </c>
      <c r="Q25" s="9">
        <f t="shared" ref="Q25:Q36" si="25">IF(N25&gt;4,4,N25)</f>
        <v>4</v>
      </c>
      <c r="R25" s="9">
        <f t="shared" si="21"/>
        <v>0.87600000000000011</v>
      </c>
      <c r="S25" s="9">
        <f t="shared" si="22"/>
        <v>0</v>
      </c>
      <c r="T25" s="9">
        <f t="shared" si="23"/>
        <v>0</v>
      </c>
      <c r="U25" s="15">
        <f>(S25+T25)/Constants!O7</f>
        <v>0</v>
      </c>
      <c r="V25" s="42">
        <f>(Constants!Q7*I25*Constants!F7*T25*0.000001)</f>
        <v>0</v>
      </c>
      <c r="W25" s="42">
        <f>(Constants!Q7*(1-I25)*Constants!G7*T25*0.000001)</f>
        <v>0</v>
      </c>
      <c r="X25" s="42">
        <f>(Constants!Q7*Constants!R7*J25*Constants!F7*S25*0.000001)</f>
        <v>0</v>
      </c>
      <c r="Y25" s="42">
        <f>(Constants!Q7*Constants!R7*(1-J25)*Constants!G7*S25*0.000001)</f>
        <v>0</v>
      </c>
      <c r="Z25" s="28">
        <f t="shared" ref="Z25:Z36" si="26">V25+W25+X25+Y25</f>
        <v>0</v>
      </c>
      <c r="AA25" s="43">
        <f>Constants!Q7*Constants!H8*(T25+S25)/1000000</f>
        <v>0</v>
      </c>
      <c r="AB25" s="43">
        <f>AB24+AA25</f>
        <v>0</v>
      </c>
      <c r="AC25" s="44">
        <f>Constants!Q7/Constants!L7*('Minimum Compliance'!T25*I25)</f>
        <v>0</v>
      </c>
      <c r="AD25" s="44">
        <f>(Constants!Q7*Constants!R7)/Constants!L7*('Minimum Compliance'!S25*J25)</f>
        <v>0</v>
      </c>
      <c r="AE25" s="42">
        <f>Constants!Q7/Constants!M7*'Minimum Compliance'!T25*(1-I25)</f>
        <v>0</v>
      </c>
      <c r="AF25" s="42">
        <f>(Constants!Q7*Constants!R7)/Constants!M7*'Minimum Compliance'!S25*(1-J25)</f>
        <v>0</v>
      </c>
      <c r="AG25" s="9">
        <f t="shared" ref="AG25:AG36" si="27">(AC25+AD25+AE25+AF25)*0.001</f>
        <v>0</v>
      </c>
      <c r="AH25" s="28">
        <f>(AG25*Constants!I7*Constants!K7+'Minimum Compliance'!AG25*(1-Constants!I7)*Constants!J7)*0.000453592</f>
        <v>0</v>
      </c>
      <c r="AI25" s="33">
        <f t="shared" si="24"/>
        <v>0</v>
      </c>
      <c r="AJ25" s="48">
        <f>AI25+AJ24</f>
        <v>0</v>
      </c>
    </row>
    <row r="26" spans="1:45" x14ac:dyDescent="0.25">
      <c r="A26" s="7">
        <v>2025</v>
      </c>
      <c r="B26" s="88">
        <v>0</v>
      </c>
      <c r="C26" s="82">
        <v>0.9</v>
      </c>
      <c r="D26" s="82">
        <v>350</v>
      </c>
      <c r="E26" s="82">
        <v>60</v>
      </c>
      <c r="F26" s="82">
        <v>350</v>
      </c>
      <c r="G26" s="82">
        <v>47</v>
      </c>
      <c r="H26" s="90">
        <v>0.03</v>
      </c>
      <c r="I26" s="90">
        <v>1</v>
      </c>
      <c r="J26" s="83">
        <v>1</v>
      </c>
      <c r="K26" s="18"/>
      <c r="L26" s="7">
        <v>2025</v>
      </c>
      <c r="M26" s="34">
        <f>Constants!O8*Constants!B8-B26</f>
        <v>2263.6138379596437</v>
      </c>
      <c r="N26" s="9">
        <f t="shared" si="18"/>
        <v>4</v>
      </c>
      <c r="O26" s="9">
        <f t="shared" si="19"/>
        <v>0.89999999999999991</v>
      </c>
      <c r="P26" s="9">
        <f t="shared" si="20"/>
        <v>0.90599999999999992</v>
      </c>
      <c r="Q26" s="9">
        <f t="shared" si="25"/>
        <v>4</v>
      </c>
      <c r="R26" s="9">
        <f t="shared" si="21"/>
        <v>0.90599999999999992</v>
      </c>
      <c r="S26" s="9">
        <f>(M26*C26)/R26</f>
        <v>2248.6230178407059</v>
      </c>
      <c r="T26" s="9">
        <f t="shared" si="23"/>
        <v>56.590345948991057</v>
      </c>
      <c r="U26" s="15">
        <f>(S26+T26)/Constants!O8</f>
        <v>0.2240430463576159</v>
      </c>
      <c r="V26" s="42">
        <f>(Constants!Q8*I26*Constants!F8*T26*0.000001)</f>
        <v>111.28491530869091</v>
      </c>
      <c r="W26" s="42">
        <f>(Constants!Q8*(1-I26)*Constants!G8*T26*0.000001)</f>
        <v>0</v>
      </c>
      <c r="X26" s="42">
        <f>(Constants!Q8*Constants!R8*J26*Constants!F8*S26*0.000001)</f>
        <v>3316.4378734378106</v>
      </c>
      <c r="Y26" s="42">
        <f>(Constants!Q8*Constants!R8*(1-J26)*Constants!G8*S26*0.000001)</f>
        <v>0</v>
      </c>
      <c r="Z26" s="28">
        <f t="shared" si="26"/>
        <v>3427.7227887465015</v>
      </c>
      <c r="AA26" s="43">
        <f>Constants!Q8*Constants!H9*(T26+S26)/1000000</f>
        <v>1.3254976841790758</v>
      </c>
      <c r="AB26" s="43">
        <f t="shared" ref="AB26:AB36" si="28">AB25+AA26</f>
        <v>1.3254976841790758</v>
      </c>
      <c r="AC26" s="44">
        <f>Constants!Q8/Constants!L8*('Minimum Compliance'!T26*I26)</f>
        <v>220606.4333604736</v>
      </c>
      <c r="AD26" s="44">
        <f>(Constants!Q8*Constants!R8)/Constants!L8*('Minimum Compliance'!S26*J26)</f>
        <v>6574363.9080935884</v>
      </c>
      <c r="AE26" s="42">
        <f>Constants!Q8/Constants!M8*'Minimum Compliance'!T26*(1-I26)</f>
        <v>0</v>
      </c>
      <c r="AF26" s="42">
        <f>(Constants!Q8*Constants!R8)/Constants!M8*'Minimum Compliance'!S26*(1-J26)</f>
        <v>0</v>
      </c>
      <c r="AG26" s="9">
        <f t="shared" si="27"/>
        <v>6794.9703414540618</v>
      </c>
      <c r="AH26" s="28">
        <f>(AG26*Constants!I8*Constants!K8+'Minimum Compliance'!AG26*(1-Constants!I8)*Constants!J8)*0.000453592</f>
        <v>2075.2094190246075</v>
      </c>
      <c r="AI26" s="33">
        <f t="shared" si="24"/>
        <v>1352.5133697218939</v>
      </c>
      <c r="AJ26" s="48">
        <f t="shared" ref="AJ26:AJ36" si="29">AI26+AJ25</f>
        <v>1352.5133697218939</v>
      </c>
    </row>
    <row r="27" spans="1:45" x14ac:dyDescent="0.25">
      <c r="A27" s="7">
        <v>2026</v>
      </c>
      <c r="B27" s="88">
        <v>0</v>
      </c>
      <c r="C27" s="82">
        <v>0.9</v>
      </c>
      <c r="D27" s="82">
        <v>350</v>
      </c>
      <c r="E27" s="82">
        <v>64</v>
      </c>
      <c r="F27" s="82">
        <v>350</v>
      </c>
      <c r="G27" s="82">
        <v>50</v>
      </c>
      <c r="H27" s="90">
        <v>0.03</v>
      </c>
      <c r="I27" s="90">
        <v>1</v>
      </c>
      <c r="J27" s="83">
        <v>1</v>
      </c>
      <c r="K27" s="18"/>
      <c r="L27" s="7">
        <v>2026</v>
      </c>
      <c r="M27" s="34">
        <f>Constants!O9*Constants!B9-B27</f>
        <v>2316.0792912014749</v>
      </c>
      <c r="N27" s="9">
        <f t="shared" si="18"/>
        <v>4</v>
      </c>
      <c r="O27" s="9">
        <f t="shared" si="19"/>
        <v>0.94</v>
      </c>
      <c r="P27" s="9">
        <f t="shared" si="20"/>
        <v>0.94599999999999995</v>
      </c>
      <c r="Q27" s="9">
        <f t="shared" si="25"/>
        <v>4</v>
      </c>
      <c r="R27" s="9">
        <f t="shared" si="21"/>
        <v>0.94599999999999995</v>
      </c>
      <c r="S27" s="9">
        <f t="shared" si="22"/>
        <v>2203.4580994517205</v>
      </c>
      <c r="T27" s="9">
        <f t="shared" si="23"/>
        <v>57.901982280036805</v>
      </c>
      <c r="U27" s="15">
        <f>(S27+T27)/Constants!O9</f>
        <v>0.21480232558139536</v>
      </c>
      <c r="V27" s="42">
        <f>(Constants!Q9*I27*Constants!F9*T27*0.000001)</f>
        <v>111.86662976503109</v>
      </c>
      <c r="W27" s="42">
        <f>(Constants!Q9*(1-I27)*Constants!G9*T27*0.000001)</f>
        <v>0</v>
      </c>
      <c r="X27" s="42">
        <f>(Constants!Q9*Constants!R9*J27*Constants!F9*S27*0.000001)</f>
        <v>3192.8107861055428</v>
      </c>
      <c r="Y27" s="42">
        <f>(Constants!Q9*Constants!R9*(1-J27)*Constants!G9*S27*0.000001)</f>
        <v>0</v>
      </c>
      <c r="Z27" s="28">
        <f t="shared" si="26"/>
        <v>3304.6774158705739</v>
      </c>
      <c r="AA27" s="43">
        <f>Constants!Q9*Constants!H10*(T27+S27)/1000000</f>
        <v>1.3002820469957603</v>
      </c>
      <c r="AB27" s="43">
        <f t="shared" si="28"/>
        <v>2.6257797311748359</v>
      </c>
      <c r="AC27" s="44">
        <f>Constants!Q9/Constants!L9*('Minimum Compliance'!T27*I27)</f>
        <v>225719.59193912652</v>
      </c>
      <c r="AD27" s="44">
        <f>(Constants!Q9*Constants!R9)/Constants!L9*('Minimum Compliance'!S27*J27)</f>
        <v>6442313.934837657</v>
      </c>
      <c r="AE27" s="42">
        <f>Constants!Q9/Constants!M9*'Minimum Compliance'!T27*(1-I27)</f>
        <v>0</v>
      </c>
      <c r="AF27" s="42">
        <f>(Constants!Q9*Constants!R9)/Constants!M9*'Minimum Compliance'!S27*(1-J27)</f>
        <v>0</v>
      </c>
      <c r="AG27" s="9">
        <f t="shared" si="27"/>
        <v>6668.0335267767832</v>
      </c>
      <c r="AH27" s="28">
        <f>(AG27*Constants!I9*Constants!K9+'Minimum Compliance'!AG27*(1-Constants!I9)*Constants!J9)*0.000453592</f>
        <v>2029.0577352783432</v>
      </c>
      <c r="AI27" s="33">
        <f t="shared" si="24"/>
        <v>1275.6196805922307</v>
      </c>
      <c r="AJ27" s="48">
        <f t="shared" si="29"/>
        <v>2628.1330503141244</v>
      </c>
    </row>
    <row r="28" spans="1:45" x14ac:dyDescent="0.25">
      <c r="A28" s="7">
        <v>2027</v>
      </c>
      <c r="B28" s="88">
        <v>0</v>
      </c>
      <c r="C28" s="82">
        <v>0.9</v>
      </c>
      <c r="D28" s="82">
        <v>350</v>
      </c>
      <c r="E28" s="82">
        <v>68</v>
      </c>
      <c r="F28" s="82">
        <v>350</v>
      </c>
      <c r="G28" s="82">
        <v>52</v>
      </c>
      <c r="H28" s="90">
        <v>0.03</v>
      </c>
      <c r="I28" s="90">
        <v>1</v>
      </c>
      <c r="J28" s="83">
        <v>1</v>
      </c>
      <c r="K28" s="18"/>
      <c r="L28" s="7">
        <v>2027</v>
      </c>
      <c r="M28" s="34">
        <f>Constants!O10*Constants!B10-B28</f>
        <v>2319.4110252996006</v>
      </c>
      <c r="N28" s="9">
        <f t="shared" si="18"/>
        <v>4</v>
      </c>
      <c r="O28" s="9">
        <f t="shared" si="19"/>
        <v>0.98</v>
      </c>
      <c r="P28" s="9">
        <f t="shared" si="20"/>
        <v>0.98599999999999999</v>
      </c>
      <c r="Q28" s="9">
        <f t="shared" si="25"/>
        <v>4</v>
      </c>
      <c r="R28" s="9">
        <f t="shared" si="21"/>
        <v>0.98599999999999999</v>
      </c>
      <c r="S28" s="9">
        <f t="shared" si="22"/>
        <v>2117.1094551416231</v>
      </c>
      <c r="T28" s="9">
        <f t="shared" si="23"/>
        <v>57.985275632490016</v>
      </c>
      <c r="U28" s="15">
        <f>(S28+T28)/Constants!O10</f>
        <v>0.20631135902636916</v>
      </c>
      <c r="V28" s="42">
        <f>(Constants!Q10*I28*Constants!F10*T28*0.000001)</f>
        <v>112.0275525219707</v>
      </c>
      <c r="W28" s="42">
        <f>(Constants!Q10*(1-I28)*Constants!G10*T28*0.000001)</f>
        <v>0</v>
      </c>
      <c r="X28" s="42">
        <f>(Constants!Q10*Constants!R10*J28*Constants!F10*S28*0.000001)</f>
        <v>3067.6916005002117</v>
      </c>
      <c r="Y28" s="42">
        <f>(Constants!Q10*Constants!R10*(1-J28)*Constants!G10*S28*0.000001)</f>
        <v>0</v>
      </c>
      <c r="Z28" s="28">
        <f t="shared" si="26"/>
        <v>3179.7191530221826</v>
      </c>
      <c r="AA28" s="43">
        <f>Constants!Q10*Constants!H11*(T28+S28)/1000000</f>
        <v>1.2506794701951152</v>
      </c>
      <c r="AB28" s="43">
        <f t="shared" si="28"/>
        <v>3.876459201369951</v>
      </c>
      <c r="AC28" s="44">
        <f>Constants!Q10/Constants!L10*('Minimum Compliance'!T28*I28)</f>
        <v>226044.29483852038</v>
      </c>
      <c r="AD28" s="44">
        <f>(Constants!Q10*Constants!R10)/Constants!L10*('Minimum Compliance'!S28*J28)</f>
        <v>6189853.9154564394</v>
      </c>
      <c r="AE28" s="42">
        <f>Constants!Q10/Constants!M10*'Minimum Compliance'!T28*(1-I28)</f>
        <v>0</v>
      </c>
      <c r="AF28" s="42">
        <f>(Constants!Q10*Constants!R10)/Constants!M10*'Minimum Compliance'!S28*(1-J28)</f>
        <v>0</v>
      </c>
      <c r="AG28" s="9">
        <f t="shared" si="27"/>
        <v>6415.8982102949603</v>
      </c>
      <c r="AH28" s="28">
        <f>(AG28*Constants!I10*Constants!K10+'Minimum Compliance'!AG28*(1-Constants!I10)*Constants!J10)*0.000453592</f>
        <v>1892.9538070403394</v>
      </c>
      <c r="AI28" s="33">
        <f t="shared" si="24"/>
        <v>1286.7653459818432</v>
      </c>
      <c r="AJ28" s="48">
        <f t="shared" si="29"/>
        <v>3914.8983962959674</v>
      </c>
    </row>
    <row r="29" spans="1:45" x14ac:dyDescent="0.25">
      <c r="A29" s="7">
        <v>2028</v>
      </c>
      <c r="B29" s="88">
        <v>0</v>
      </c>
      <c r="C29" s="82">
        <v>0.9</v>
      </c>
      <c r="D29" s="82">
        <v>350</v>
      </c>
      <c r="E29" s="82">
        <v>71</v>
      </c>
      <c r="F29" s="82">
        <v>350</v>
      </c>
      <c r="G29" s="82">
        <v>55</v>
      </c>
      <c r="H29" s="90">
        <v>0.03</v>
      </c>
      <c r="I29" s="90">
        <v>1</v>
      </c>
      <c r="J29" s="83">
        <v>1</v>
      </c>
      <c r="K29" s="18"/>
      <c r="L29" s="7">
        <v>2028</v>
      </c>
      <c r="M29" s="34">
        <f>Constants!O11*Constants!B11-B29</f>
        <v>2297.5114247669771</v>
      </c>
      <c r="N29" s="9">
        <f t="shared" si="18"/>
        <v>4</v>
      </c>
      <c r="O29" s="9">
        <f t="shared" si="19"/>
        <v>1.01</v>
      </c>
      <c r="P29" s="9">
        <f t="shared" si="20"/>
        <v>1.016</v>
      </c>
      <c r="Q29" s="9">
        <f t="shared" si="25"/>
        <v>4</v>
      </c>
      <c r="R29" s="9">
        <f t="shared" si="21"/>
        <v>1.016</v>
      </c>
      <c r="S29" s="9">
        <f t="shared" si="22"/>
        <v>2035.1971282384641</v>
      </c>
      <c r="T29" s="9">
        <f t="shared" si="23"/>
        <v>57.437785619174406</v>
      </c>
      <c r="U29" s="15">
        <f>(S29+T29)/Constants!O11</f>
        <v>0.20038188976377952</v>
      </c>
      <c r="V29" s="42">
        <f>(Constants!Q11*I29*Constants!F11*T29*0.000001)</f>
        <v>110.96980181624494</v>
      </c>
      <c r="W29" s="42">
        <f>(Constants!Q11*(1-I29)*Constants!G11*T29*0.000001)</f>
        <v>0</v>
      </c>
      <c r="X29" s="42">
        <f>(Constants!Q11*Constants!R11*J29*Constants!F11*S29*0.000001)</f>
        <v>2949.0006388175343</v>
      </c>
      <c r="Y29" s="42">
        <f>(Constants!Q11*Constants!R11*(1-J29)*Constants!G11*S29*0.000001)</f>
        <v>0</v>
      </c>
      <c r="Z29" s="28">
        <f t="shared" si="26"/>
        <v>3059.9704406337792</v>
      </c>
      <c r="AA29" s="43">
        <f>Constants!Q11*Constants!H12*(T29+S29)/1000000</f>
        <v>1.203265075468142</v>
      </c>
      <c r="AB29" s="43">
        <f t="shared" si="28"/>
        <v>5.0797242768380926</v>
      </c>
      <c r="AC29" s="44">
        <f>Constants!Q11/Constants!L11*('Minimum Compliance'!T29*I29)</f>
        <v>223910.01173576462</v>
      </c>
      <c r="AD29" s="44">
        <f>(Constants!Q11*Constants!R11)/Constants!L11*('Minimum Compliance'!S29*J29)</f>
        <v>5950364.4851039834</v>
      </c>
      <c r="AE29" s="42">
        <f>Constants!Q11/Constants!M11*'Minimum Compliance'!T29*(1-I29)</f>
        <v>0</v>
      </c>
      <c r="AF29" s="42">
        <f>(Constants!Q11*Constants!R11)/Constants!M11*'Minimum Compliance'!S29*(1-J29)</f>
        <v>0</v>
      </c>
      <c r="AG29" s="9">
        <f t="shared" si="27"/>
        <v>6174.2744968397483</v>
      </c>
      <c r="AH29" s="28">
        <f>(AG29*Constants!I11*Constants!K11+'Minimum Compliance'!AG29*(1-Constants!I11)*Constants!J11)*0.000453592</f>
        <v>1765.2464824015458</v>
      </c>
      <c r="AI29" s="33">
        <f t="shared" si="24"/>
        <v>1294.7239582322334</v>
      </c>
      <c r="AJ29" s="48">
        <f t="shared" si="29"/>
        <v>5209.622354528201</v>
      </c>
    </row>
    <row r="30" spans="1:45" x14ac:dyDescent="0.25">
      <c r="A30" s="7">
        <v>2029</v>
      </c>
      <c r="B30" s="88">
        <v>0</v>
      </c>
      <c r="C30" s="82">
        <v>0.9</v>
      </c>
      <c r="D30" s="82">
        <v>350</v>
      </c>
      <c r="E30" s="82">
        <v>75</v>
      </c>
      <c r="F30" s="82">
        <v>350</v>
      </c>
      <c r="G30" s="82">
        <v>58</v>
      </c>
      <c r="H30" s="90">
        <v>0.03</v>
      </c>
      <c r="I30" s="90">
        <v>1</v>
      </c>
      <c r="J30" s="83">
        <v>1</v>
      </c>
      <c r="K30" s="18"/>
      <c r="L30" s="7">
        <v>2029</v>
      </c>
      <c r="M30" s="34">
        <f>Constants!O12*Constants!B12-B30</f>
        <v>2315.8359623066681</v>
      </c>
      <c r="N30" s="9">
        <f t="shared" si="18"/>
        <v>4</v>
      </c>
      <c r="O30" s="9">
        <f t="shared" si="19"/>
        <v>1.05</v>
      </c>
      <c r="P30" s="9">
        <f t="shared" si="20"/>
        <v>1.056</v>
      </c>
      <c r="Q30" s="9">
        <f t="shared" si="25"/>
        <v>4</v>
      </c>
      <c r="R30" s="9">
        <f t="shared" si="21"/>
        <v>1.056</v>
      </c>
      <c r="S30" s="9">
        <f t="shared" si="22"/>
        <v>1973.7238315113646</v>
      </c>
      <c r="T30" s="9">
        <f t="shared" si="23"/>
        <v>57.895899057666725</v>
      </c>
      <c r="U30" s="15">
        <f>(S30+T30)/Constants!O12</f>
        <v>0.19299999999999998</v>
      </c>
      <c r="V30" s="42">
        <f>(Constants!Q12*I30*Constants!F12*T30*0.000001)</f>
        <v>111.8548769794121</v>
      </c>
      <c r="W30" s="42">
        <f>(Constants!Q12*(1-I30)*Constants!G12*T30*0.000001)</f>
        <v>0</v>
      </c>
      <c r="X30" s="42">
        <f>(Constants!Q12*Constants!R12*J30*Constants!F12*S30*0.000001)</f>
        <v>2859.9258318599673</v>
      </c>
      <c r="Y30" s="42">
        <f>(Constants!Q12*Constants!R12*(1-J30)*Constants!G12*S30*0.000001)</f>
        <v>0</v>
      </c>
      <c r="Z30" s="28">
        <f t="shared" si="26"/>
        <v>2971.7807088393793</v>
      </c>
      <c r="AA30" s="43">
        <f>Constants!Q12*Constants!H13*(T30+S30)/1000000</f>
        <v>1.168181345077193</v>
      </c>
      <c r="AB30" s="43">
        <f t="shared" si="28"/>
        <v>6.2479056219152858</v>
      </c>
      <c r="AC30" s="44">
        <f>Constants!Q12/Constants!L12*('Minimum Compliance'!T30*I30)</f>
        <v>225695.87768242959</v>
      </c>
      <c r="AD30" s="44">
        <f>(Constants!Q12*Constants!R12)/Constants!L12*('Minimum Compliance'!S30*J30)</f>
        <v>5770633.2361984802</v>
      </c>
      <c r="AE30" s="42">
        <f>Constants!Q12/Constants!M12*'Minimum Compliance'!T30*(1-I30)</f>
        <v>0</v>
      </c>
      <c r="AF30" s="42">
        <f>(Constants!Q12*Constants!R12)/Constants!M12*'Minimum Compliance'!S30*(1-J30)</f>
        <v>0</v>
      </c>
      <c r="AG30" s="9">
        <f t="shared" si="27"/>
        <v>5996.32911388091</v>
      </c>
      <c r="AH30" s="28">
        <f>(AG30*Constants!I12*Constants!K12+'Minimum Compliance'!AG30*(1-Constants!I12)*Constants!J12)*0.000453592</f>
        <v>1704.566712349638</v>
      </c>
      <c r="AI30" s="33">
        <f t="shared" si="24"/>
        <v>1267.2139964897412</v>
      </c>
      <c r="AJ30" s="48">
        <f t="shared" si="29"/>
        <v>6476.8363510179424</v>
      </c>
    </row>
    <row r="31" spans="1:45" x14ac:dyDescent="0.25">
      <c r="A31" s="7">
        <v>2030</v>
      </c>
      <c r="B31" s="88">
        <v>0</v>
      </c>
      <c r="C31" s="82">
        <v>0.9</v>
      </c>
      <c r="D31" s="82">
        <v>350</v>
      </c>
      <c r="E31" s="82">
        <v>78</v>
      </c>
      <c r="F31" s="82">
        <v>350</v>
      </c>
      <c r="G31" s="82">
        <v>60</v>
      </c>
      <c r="H31" s="90">
        <v>0.03</v>
      </c>
      <c r="I31" s="90">
        <v>1</v>
      </c>
      <c r="J31" s="83">
        <v>1</v>
      </c>
      <c r="K31" s="18"/>
      <c r="L31" s="7">
        <v>2030</v>
      </c>
      <c r="M31" s="34">
        <f>Constants!O13*Constants!B13-B31</f>
        <v>2328.9382874116563</v>
      </c>
      <c r="N31" s="9">
        <f t="shared" si="18"/>
        <v>4</v>
      </c>
      <c r="O31" s="9">
        <f t="shared" si="19"/>
        <v>1.08</v>
      </c>
      <c r="P31" s="9">
        <f t="shared" si="20"/>
        <v>1.0860000000000001</v>
      </c>
      <c r="Q31" s="9">
        <f t="shared" si="25"/>
        <v>4</v>
      </c>
      <c r="R31" s="9">
        <f t="shared" si="21"/>
        <v>1.0860000000000001</v>
      </c>
      <c r="S31" s="9">
        <f t="shared" si="22"/>
        <v>1930.0593542085549</v>
      </c>
      <c r="T31" s="9">
        <f t="shared" si="23"/>
        <v>58.223457185291409</v>
      </c>
      <c r="U31" s="15">
        <f>(S31+T31)/Constants!O13</f>
        <v>0.18782044198895029</v>
      </c>
      <c r="V31" s="42">
        <f>(Constants!Q13*I31*Constants!F13*T31*0.000001)</f>
        <v>112.487719281983</v>
      </c>
      <c r="W31" s="42">
        <f>(Constants!Q13*(1-I31)*Constants!G13*T31*0.000001)</f>
        <v>0</v>
      </c>
      <c r="X31" s="42">
        <f>(Constants!Q13*Constants!R13*J31*Constants!F13*S31*0.000001)</f>
        <v>2796.656004248196</v>
      </c>
      <c r="Y31" s="42">
        <f>(Constants!Q13*Constants!R13*(1-J31)*Constants!G13*S31*0.000001)</f>
        <v>0</v>
      </c>
      <c r="Z31" s="28">
        <f t="shared" si="26"/>
        <v>2909.1437235301792</v>
      </c>
      <c r="AA31" s="43">
        <f>Constants!Q13*Constants!H14*(T31+S31)/1000000</f>
        <v>1.1432626165514617</v>
      </c>
      <c r="AB31" s="43">
        <f t="shared" si="28"/>
        <v>7.3911682384667472</v>
      </c>
      <c r="AC31" s="44">
        <f>Constants!Q13/Constants!L13*('Minimum Compliance'!T31*I31)</f>
        <v>226972.7991968987</v>
      </c>
      <c r="AD31" s="44">
        <f>(Constants!Q13*Constants!R13)/Constants!L13*('Minimum Compliance'!S31*J31)</f>
        <v>5642970.1457792483</v>
      </c>
      <c r="AE31" s="42">
        <f>Constants!Q13/Constants!M13*'Minimum Compliance'!T31*(1-I31)</f>
        <v>0</v>
      </c>
      <c r="AF31" s="42">
        <f>(Constants!Q13*Constants!R13)/Constants!M13*'Minimum Compliance'!S31*(1-J31)</f>
        <v>0</v>
      </c>
      <c r="AG31" s="9">
        <f t="shared" si="27"/>
        <v>5869.9429449761474</v>
      </c>
      <c r="AH31" s="28">
        <f>(AG31*Constants!I13*Constants!K13+'Minimum Compliance'!AG31*(1-Constants!I13)*Constants!J13)*0.000453592</f>
        <v>1626.1272319722</v>
      </c>
      <c r="AI31" s="33">
        <f t="shared" si="24"/>
        <v>1283.0164915579792</v>
      </c>
      <c r="AJ31" s="48">
        <f t="shared" si="29"/>
        <v>7759.8528425759214</v>
      </c>
    </row>
    <row r="32" spans="1:45" x14ac:dyDescent="0.25">
      <c r="A32" s="7">
        <v>2031</v>
      </c>
      <c r="B32" s="88">
        <v>0</v>
      </c>
      <c r="C32" s="82">
        <v>0.9</v>
      </c>
      <c r="D32" s="82">
        <v>350</v>
      </c>
      <c r="E32" s="82">
        <v>80</v>
      </c>
      <c r="F32" s="82">
        <v>350</v>
      </c>
      <c r="G32" s="82">
        <v>63</v>
      </c>
      <c r="H32" s="90">
        <v>0.03</v>
      </c>
      <c r="I32" s="90">
        <v>1</v>
      </c>
      <c r="J32" s="83">
        <v>1</v>
      </c>
      <c r="K32" s="18"/>
      <c r="L32" s="7">
        <v>2031</v>
      </c>
      <c r="M32" s="34">
        <f>Constants!O14*Constants!B14-B32</f>
        <v>2337.1178817986274</v>
      </c>
      <c r="N32" s="9">
        <f t="shared" si="18"/>
        <v>4</v>
      </c>
      <c r="O32" s="9">
        <f t="shared" si="19"/>
        <v>1.1000000000000001</v>
      </c>
      <c r="P32" s="9">
        <f t="shared" si="20"/>
        <v>1.1060000000000001</v>
      </c>
      <c r="Q32" s="9">
        <f t="shared" si="25"/>
        <v>4</v>
      </c>
      <c r="R32" s="9">
        <f t="shared" si="21"/>
        <v>1.1060000000000001</v>
      </c>
      <c r="S32" s="9">
        <f t="shared" si="22"/>
        <v>1901.8138278650674</v>
      </c>
      <c r="T32" s="9">
        <f t="shared" si="23"/>
        <v>58.427947044965663</v>
      </c>
      <c r="U32" s="15">
        <f>(S32+T32)/Constants!O14</f>
        <v>0.18452350813743218</v>
      </c>
      <c r="V32" s="42">
        <f>(Constants!Q14*I32*Constants!F14*T32*0.000001)</f>
        <v>112.88279369087367</v>
      </c>
      <c r="W32" s="42">
        <f>(Constants!Q14*(1-I32)*Constants!G14*T32*0.000001)</f>
        <v>0</v>
      </c>
      <c r="X32" s="42">
        <f>(Constants!Q14*Constants!R14*J32*Constants!F14*S32*0.000001)</f>
        <v>2755.7282365764827</v>
      </c>
      <c r="Y32" s="42">
        <f>(Constants!Q14*Constants!R14*(1-J32)*Constants!G14*S32*0.000001)</f>
        <v>0</v>
      </c>
      <c r="Z32" s="28">
        <f t="shared" si="26"/>
        <v>2868.6110302673565</v>
      </c>
      <c r="AA32" s="43">
        <f>Constants!Q14*Constants!H15*(T32+S32)/1000000</f>
        <v>1.1271390205732692</v>
      </c>
      <c r="AB32" s="43">
        <f t="shared" si="28"/>
        <v>8.5183072590400162</v>
      </c>
      <c r="AC32" s="44">
        <f>Constants!Q14/Constants!L14*('Minimum Compliance'!T32*I32)</f>
        <v>227769.96305664579</v>
      </c>
      <c r="AD32" s="44">
        <f>(Constants!Q14*Constants!R14)/Constants!L14*('Minimum Compliance'!S32*J32)</f>
        <v>5560387.8865546454</v>
      </c>
      <c r="AE32" s="42">
        <f>Constants!Q14/Constants!M14*'Minimum Compliance'!T32*(1-I32)</f>
        <v>0</v>
      </c>
      <c r="AF32" s="42">
        <f>(Constants!Q14*Constants!R14)/Constants!M14*'Minimum Compliance'!S32*(1-J32)</f>
        <v>0</v>
      </c>
      <c r="AG32" s="9">
        <f t="shared" si="27"/>
        <v>5788.1578496112907</v>
      </c>
      <c r="AH32" s="28">
        <f>(AG32*Constants!I14*Constants!K14+'Minimum Compliance'!AG32*(1-Constants!I14)*Constants!J14)*0.000453592</f>
        <v>1583.7744656019954</v>
      </c>
      <c r="AI32" s="33">
        <f t="shared" si="24"/>
        <v>1284.836564665361</v>
      </c>
      <c r="AJ32" s="48">
        <f t="shared" si="29"/>
        <v>9044.6894072412833</v>
      </c>
    </row>
    <row r="33" spans="1:37" x14ac:dyDescent="0.25">
      <c r="A33" s="7">
        <v>2032</v>
      </c>
      <c r="B33" s="88">
        <v>0</v>
      </c>
      <c r="C33" s="82">
        <v>0.9</v>
      </c>
      <c r="D33" s="82">
        <v>350</v>
      </c>
      <c r="E33" s="82">
        <v>80</v>
      </c>
      <c r="F33" s="82">
        <v>350</v>
      </c>
      <c r="G33" s="82">
        <v>66</v>
      </c>
      <c r="H33" s="90">
        <v>0.03</v>
      </c>
      <c r="I33" s="90">
        <v>1</v>
      </c>
      <c r="J33" s="83">
        <v>1</v>
      </c>
      <c r="K33" s="18"/>
      <c r="L33" s="7">
        <v>2032</v>
      </c>
      <c r="M33" s="34">
        <f>Constants!O15*Constants!B15-B33</f>
        <v>2356.6777814196457</v>
      </c>
      <c r="N33" s="9">
        <f t="shared" si="18"/>
        <v>4</v>
      </c>
      <c r="O33" s="9">
        <f t="shared" si="19"/>
        <v>1.1000000000000001</v>
      </c>
      <c r="P33" s="9">
        <f t="shared" si="20"/>
        <v>1.1060000000000001</v>
      </c>
      <c r="Q33" s="9">
        <f t="shared" si="25"/>
        <v>4</v>
      </c>
      <c r="R33" s="9">
        <f t="shared" si="21"/>
        <v>1.1060000000000001</v>
      </c>
      <c r="S33" s="9">
        <f t="shared" si="22"/>
        <v>1917.7305635422072</v>
      </c>
      <c r="T33" s="9">
        <f t="shared" si="23"/>
        <v>58.916944535491098</v>
      </c>
      <c r="U33" s="15">
        <f>(S33+T33)/Constants!O15</f>
        <v>0.18452350813743218</v>
      </c>
      <c r="V33" s="42">
        <f>(Constants!Q15*I33*Constants!F15*T33*0.000001)</f>
        <v>113.82753684256879</v>
      </c>
      <c r="W33" s="42">
        <f>(Constants!Q15*(1-I33)*Constants!G15*T33*0.000001)</f>
        <v>0</v>
      </c>
      <c r="X33" s="42">
        <f>(Constants!Q15*Constants!R15*J33*Constants!F15*S33*0.000001)</f>
        <v>2778.7915865726582</v>
      </c>
      <c r="Y33" s="42">
        <f>(Constants!Q15*Constants!R15*(1-J33)*Constants!G15*S33*0.000001)</f>
        <v>0</v>
      </c>
      <c r="Z33" s="28">
        <f t="shared" si="26"/>
        <v>2892.619123415227</v>
      </c>
      <c r="AA33" s="43">
        <f>Constants!Q15*Constants!H16*(T33+S33)/1000000</f>
        <v>1.1365723171446764</v>
      </c>
      <c r="AB33" s="43">
        <f t="shared" si="28"/>
        <v>9.6548795761846922</v>
      </c>
      <c r="AC33" s="44">
        <f>Constants!Q15/Constants!L15*('Minimum Compliance'!T33*I33)</f>
        <v>229676.22446038903</v>
      </c>
      <c r="AD33" s="44">
        <f>(Constants!Q15*Constants!R15)/Constants!L15*('Minimum Compliance'!S33*J33)</f>
        <v>5606924.1052717064</v>
      </c>
      <c r="AE33" s="42">
        <f>Constants!Q15/Constants!M15*'Minimum Compliance'!T33*(1-I33)</f>
        <v>0</v>
      </c>
      <c r="AF33" s="42">
        <f>(Constants!Q15*Constants!R15)/Constants!M15*'Minimum Compliance'!S33*(1-J33)</f>
        <v>0</v>
      </c>
      <c r="AG33" s="9">
        <f t="shared" si="27"/>
        <v>5836.6003297320958</v>
      </c>
      <c r="AH33" s="28">
        <f>(AG33*Constants!I15*Constants!K15+'Minimum Compliance'!AG33*(1-Constants!I15)*Constants!J15)*0.000453592</f>
        <v>1434.5474421636575</v>
      </c>
      <c r="AI33" s="33">
        <f t="shared" si="24"/>
        <v>1458.0716812515695</v>
      </c>
      <c r="AJ33" s="48">
        <f t="shared" si="29"/>
        <v>10502.761088492853</v>
      </c>
    </row>
    <row r="34" spans="1:37" x14ac:dyDescent="0.25">
      <c r="A34" s="7">
        <v>2033</v>
      </c>
      <c r="B34" s="88">
        <v>0</v>
      </c>
      <c r="C34" s="82">
        <v>0.9</v>
      </c>
      <c r="D34" s="82">
        <v>350</v>
      </c>
      <c r="E34" s="82">
        <v>80</v>
      </c>
      <c r="F34" s="82">
        <v>350</v>
      </c>
      <c r="G34" s="82">
        <v>69</v>
      </c>
      <c r="H34" s="90">
        <v>0.03</v>
      </c>
      <c r="I34" s="90">
        <v>1</v>
      </c>
      <c r="J34" s="83">
        <v>1</v>
      </c>
      <c r="K34" s="18"/>
      <c r="L34" s="7">
        <v>2033</v>
      </c>
      <c r="M34" s="34">
        <f>Constants!O16*Constants!B16-B34</f>
        <v>2364.3894356242959</v>
      </c>
      <c r="N34" s="9">
        <f t="shared" si="18"/>
        <v>4</v>
      </c>
      <c r="O34" s="9">
        <f t="shared" si="19"/>
        <v>1.1000000000000001</v>
      </c>
      <c r="P34" s="9">
        <f t="shared" si="20"/>
        <v>1.1060000000000001</v>
      </c>
      <c r="Q34" s="9">
        <f t="shared" si="25"/>
        <v>4</v>
      </c>
      <c r="R34" s="9">
        <f t="shared" si="21"/>
        <v>1.1060000000000001</v>
      </c>
      <c r="S34" s="9">
        <f t="shared" si="22"/>
        <v>1924.0058698570219</v>
      </c>
      <c r="T34" s="9">
        <f t="shared" si="23"/>
        <v>59.10973589060734</v>
      </c>
      <c r="U34" s="15">
        <f>(S34+T34)/Constants!O16</f>
        <v>0.18452350813743218</v>
      </c>
      <c r="V34" s="42">
        <f>(Constants!Q16*I34*Constants!F16*T34*0.000001)</f>
        <v>114.20000974065337</v>
      </c>
      <c r="W34" s="42">
        <f>(Constants!Q16*(1-I34)*Constants!G16*T34*0.000001)</f>
        <v>0</v>
      </c>
      <c r="X34" s="42">
        <f>(Constants!Q16*Constants!R16*J34*Constants!F16*S34*0.000001)</f>
        <v>2787.8845054228245</v>
      </c>
      <c r="Y34" s="42">
        <f>(Constants!Q16*Constants!R16*(1-J34)*Constants!G16*S34*0.000001)</f>
        <v>0</v>
      </c>
      <c r="Z34" s="28">
        <f t="shared" si="26"/>
        <v>2902.084515163478</v>
      </c>
      <c r="AA34" s="43">
        <f>Constants!Q16*Constants!H17*(T34+S34)/1000000</f>
        <v>1.1402914733048868</v>
      </c>
      <c r="AB34" s="43">
        <f t="shared" si="28"/>
        <v>10.795171049489579</v>
      </c>
      <c r="AC34" s="44">
        <f>Constants!Q16/Constants!L16*('Minimum Compliance'!T34*I34)</f>
        <v>230427.78398033368</v>
      </c>
      <c r="AD34" s="44">
        <f>(Constants!Q16*Constants!R16)/Constants!L16*('Minimum Compliance'!S34*J34)</f>
        <v>5625271.3991582412</v>
      </c>
      <c r="AE34" s="42">
        <f>Constants!Q16/Constants!M16*'Minimum Compliance'!T34*(1-I34)</f>
        <v>0</v>
      </c>
      <c r="AF34" s="42">
        <f>(Constants!Q16*Constants!R16)/Constants!M16*'Minimum Compliance'!S34*(1-J34)</f>
        <v>0</v>
      </c>
      <c r="AG34" s="9">
        <f t="shared" si="27"/>
        <v>5855.6991831385749</v>
      </c>
      <c r="AH34" s="28">
        <f>(AG34*Constants!I16*Constants!K16+'Minimum Compliance'!AG34*(1-Constants!I16)*Constants!J16)*0.000453592</f>
        <v>1505.6062337122332</v>
      </c>
      <c r="AI34" s="33">
        <f t="shared" si="24"/>
        <v>1396.4782814512448</v>
      </c>
      <c r="AJ34" s="48">
        <f t="shared" si="29"/>
        <v>11899.239369944098</v>
      </c>
    </row>
    <row r="35" spans="1:37" x14ac:dyDescent="0.25">
      <c r="A35" s="7">
        <v>2034</v>
      </c>
      <c r="B35" s="88">
        <v>0</v>
      </c>
      <c r="C35" s="82">
        <v>0.9</v>
      </c>
      <c r="D35" s="82">
        <v>350</v>
      </c>
      <c r="E35" s="82">
        <v>80</v>
      </c>
      <c r="F35" s="82">
        <v>350</v>
      </c>
      <c r="G35" s="82">
        <v>71</v>
      </c>
      <c r="H35" s="90">
        <v>0.03</v>
      </c>
      <c r="I35" s="90">
        <v>1</v>
      </c>
      <c r="J35" s="83">
        <v>1</v>
      </c>
      <c r="K35" s="18"/>
      <c r="L35" s="7">
        <v>2034</v>
      </c>
      <c r="M35" s="34">
        <f>Constants!O17*Constants!B17-B35</f>
        <v>2381.010670900338</v>
      </c>
      <c r="N35" s="9">
        <f t="shared" si="18"/>
        <v>4</v>
      </c>
      <c r="O35" s="9">
        <f t="shared" si="19"/>
        <v>1.1000000000000001</v>
      </c>
      <c r="P35" s="9">
        <f t="shared" si="20"/>
        <v>1.1060000000000001</v>
      </c>
      <c r="Q35" s="9">
        <f t="shared" si="25"/>
        <v>4</v>
      </c>
      <c r="R35" s="9">
        <f t="shared" si="21"/>
        <v>1.1060000000000001</v>
      </c>
      <c r="S35" s="9">
        <f t="shared" si="22"/>
        <v>1937.5312873510888</v>
      </c>
      <c r="T35" s="9">
        <f t="shared" si="23"/>
        <v>59.525266772508417</v>
      </c>
      <c r="U35" s="15">
        <f>(S35+T35)/Constants!O17</f>
        <v>0.18452350813743218</v>
      </c>
      <c r="V35" s="42">
        <f>(Constants!Q17*I35*Constants!F17*T35*0.000001)</f>
        <v>115.00281540448624</v>
      </c>
      <c r="W35" s="42">
        <f>(Constants!Q17*(1-I35)*Constants!G17*T35*0.000001)</f>
        <v>0</v>
      </c>
      <c r="X35" s="42">
        <f>(Constants!Q17*Constants!R17*J35*Constants!F17*S35*0.000001)</f>
        <v>2807.482835371728</v>
      </c>
      <c r="Y35" s="42">
        <f>(Constants!Q17*Constants!R17*(1-J35)*Constants!G17*S35*0.000001)</f>
        <v>0</v>
      </c>
      <c r="Z35" s="28">
        <f t="shared" si="26"/>
        <v>2922.4856507762142</v>
      </c>
      <c r="AA35" s="43">
        <f>Constants!Q17*Constants!H18*(T35+S35)/1000000</f>
        <v>1.1483075186210685</v>
      </c>
      <c r="AB35" s="43">
        <f t="shared" si="28"/>
        <v>11.943478568110647</v>
      </c>
      <c r="AC35" s="44">
        <f>Constants!Q17/Constants!L17*('Minimum Compliance'!T35*I35)</f>
        <v>232047.65013011754</v>
      </c>
      <c r="AD35" s="44">
        <f>(Constants!Q17*Constants!R17)/Constants!L17*('Minimum Compliance'!S35*J35)</f>
        <v>5664816.0520010637</v>
      </c>
      <c r="AE35" s="42">
        <f>Constants!Q17/Constants!M17*'Minimum Compliance'!T35*(1-I35)</f>
        <v>0</v>
      </c>
      <c r="AF35" s="42">
        <f>(Constants!Q17*Constants!R17)/Constants!M17*'Minimum Compliance'!S35*(1-J35)</f>
        <v>0</v>
      </c>
      <c r="AG35" s="9">
        <f t="shared" si="27"/>
        <v>5896.8637021311815</v>
      </c>
      <c r="AH35" s="28">
        <f>(AG35*Constants!I17*Constants!K17+'Minimum Compliance'!AG35*(1-Constants!I17)*Constants!J17)*0.000453592</f>
        <v>1511.6230235242053</v>
      </c>
      <c r="AI35" s="33">
        <f t="shared" si="24"/>
        <v>1410.8626272520089</v>
      </c>
      <c r="AJ35" s="48">
        <f t="shared" si="29"/>
        <v>13310.101997196107</v>
      </c>
    </row>
    <row r="36" spans="1:37" ht="15.75" thickBot="1" x14ac:dyDescent="0.3">
      <c r="A36" s="7">
        <v>2035</v>
      </c>
      <c r="B36" s="89">
        <v>0</v>
      </c>
      <c r="C36" s="85">
        <v>0.9</v>
      </c>
      <c r="D36" s="85">
        <v>350</v>
      </c>
      <c r="E36" s="85">
        <v>80</v>
      </c>
      <c r="F36" s="85">
        <v>350</v>
      </c>
      <c r="G36" s="85">
        <v>74</v>
      </c>
      <c r="H36" s="91">
        <v>0.03</v>
      </c>
      <c r="I36" s="91">
        <v>1</v>
      </c>
      <c r="J36" s="86">
        <v>1</v>
      </c>
      <c r="K36" s="18"/>
      <c r="L36" s="7">
        <v>2035</v>
      </c>
      <c r="M36" s="35">
        <f>Constants!O18*Constants!B18-B36</f>
        <v>2398.1372815732871</v>
      </c>
      <c r="N36" s="16">
        <f t="shared" si="18"/>
        <v>4</v>
      </c>
      <c r="O36" s="16">
        <f t="shared" si="19"/>
        <v>1.1000000000000001</v>
      </c>
      <c r="P36" s="16">
        <f t="shared" si="20"/>
        <v>1.1060000000000001</v>
      </c>
      <c r="Q36" s="27">
        <f t="shared" si="25"/>
        <v>4</v>
      </c>
      <c r="R36" s="16">
        <f t="shared" si="21"/>
        <v>1.1060000000000001</v>
      </c>
      <c r="S36" s="16">
        <f t="shared" si="22"/>
        <v>1951.4679506473403</v>
      </c>
      <c r="T36" s="16">
        <f t="shared" si="23"/>
        <v>59.953432039332142</v>
      </c>
      <c r="U36" s="115">
        <f>(S36+T36)/Constants!O18</f>
        <v>0.18452350813743221</v>
      </c>
      <c r="V36" s="116">
        <f>(Constants!Q18*I36*Constants!F18*T36*0.000001)</f>
        <v>115.83003069998971</v>
      </c>
      <c r="W36" s="116">
        <f>(Constants!Q18*(1-I36)*Constants!G18*T36*0.000001)</f>
        <v>0</v>
      </c>
      <c r="X36" s="116">
        <f>(Constants!Q18*Constants!R18*J36*Constants!F18*S36*0.000001)</f>
        <v>2827.6770604879962</v>
      </c>
      <c r="Y36" s="116">
        <f>(Constants!Q18*Constants!R18*(1-J36)*Constants!G18*S36*0.000001)</f>
        <v>0</v>
      </c>
      <c r="Z36" s="47">
        <f t="shared" si="26"/>
        <v>2943.5070911879857</v>
      </c>
      <c r="AA36" s="49">
        <f>Constants!Q18*Constants!H19*(T36+S36)/1000000</f>
        <v>0</v>
      </c>
      <c r="AB36" s="49">
        <f t="shared" si="28"/>
        <v>11.943478568110647</v>
      </c>
      <c r="AC36" s="118">
        <f>Constants!Q18/Constants!L18*('Minimum Compliance'!T36*I36)</f>
        <v>233716.76896688799</v>
      </c>
      <c r="AD36" s="118">
        <f>(Constants!Q18*Constants!R18)/Constants!L18*('Minimum Compliance'!S36*J36)</f>
        <v>5705563.0760451891</v>
      </c>
      <c r="AE36" s="116">
        <f>Constants!Q18/Constants!M18*'Minimum Compliance'!T36*(1-I36)</f>
        <v>0</v>
      </c>
      <c r="AF36" s="116">
        <f>(Constants!Q18*Constants!R18)/Constants!M18*'Minimum Compliance'!S36*(1-J36)</f>
        <v>0</v>
      </c>
      <c r="AG36" s="27">
        <f t="shared" si="27"/>
        <v>5939.2798450120772</v>
      </c>
      <c r="AH36" s="47">
        <f>(AG36*Constants!I18*Constants!K18+'Minimum Compliance'!AG36*(1-Constants!I18)*Constants!J18)*0.000453592</f>
        <v>1521.0205545069925</v>
      </c>
      <c r="AI36" s="36">
        <f t="shared" si="24"/>
        <v>1422.4865366809931</v>
      </c>
      <c r="AJ36" s="51">
        <f t="shared" si="29"/>
        <v>14732.5885338771</v>
      </c>
    </row>
    <row r="38" spans="1:37" ht="15.75" thickBot="1" x14ac:dyDescent="0.3">
      <c r="B38" s="28" t="s">
        <v>209</v>
      </c>
      <c r="C38" s="9"/>
      <c r="D38" s="9"/>
      <c r="E38" s="9"/>
      <c r="F38" s="9"/>
      <c r="G38" s="9"/>
      <c r="H38" s="9"/>
      <c r="I38" s="9"/>
      <c r="J38" s="9"/>
      <c r="T38" s="22" t="s">
        <v>156</v>
      </c>
    </row>
    <row r="39" spans="1:37" ht="60" x14ac:dyDescent="0.25">
      <c r="B39" s="29" t="s">
        <v>157</v>
      </c>
      <c r="C39" s="30" t="s">
        <v>158</v>
      </c>
      <c r="D39" s="30" t="s">
        <v>159</v>
      </c>
      <c r="E39" s="30" t="s">
        <v>160</v>
      </c>
      <c r="F39" s="30" t="s">
        <v>161</v>
      </c>
      <c r="G39" s="30" t="s">
        <v>162</v>
      </c>
      <c r="H39" s="30" t="s">
        <v>163</v>
      </c>
      <c r="I39" s="30" t="s">
        <v>164</v>
      </c>
      <c r="J39" s="31" t="s">
        <v>165</v>
      </c>
      <c r="K39" s="2"/>
      <c r="M39" s="45" t="s">
        <v>166</v>
      </c>
      <c r="N39" s="46" t="s">
        <v>167</v>
      </c>
      <c r="O39" s="46" t="s">
        <v>168</v>
      </c>
      <c r="P39" s="46" t="s">
        <v>169</v>
      </c>
      <c r="Q39" s="46" t="s">
        <v>170</v>
      </c>
      <c r="R39" s="46" t="s">
        <v>171</v>
      </c>
      <c r="S39" s="40" t="s">
        <v>172</v>
      </c>
      <c r="T39" s="40" t="s">
        <v>173</v>
      </c>
      <c r="U39" s="40" t="s">
        <v>174</v>
      </c>
      <c r="V39" s="40" t="s">
        <v>175</v>
      </c>
      <c r="W39" s="40" t="s">
        <v>176</v>
      </c>
      <c r="X39" s="40" t="s">
        <v>177</v>
      </c>
      <c r="Y39" s="40" t="s">
        <v>178</v>
      </c>
      <c r="Z39" s="40" t="s">
        <v>179</v>
      </c>
      <c r="AA39" s="40" t="s">
        <v>180</v>
      </c>
      <c r="AB39" s="40" t="s">
        <v>235</v>
      </c>
      <c r="AC39" s="40" t="s">
        <v>181</v>
      </c>
      <c r="AD39" s="40" t="s">
        <v>236</v>
      </c>
      <c r="AE39" s="40" t="s">
        <v>182</v>
      </c>
      <c r="AF39" s="40" t="s">
        <v>237</v>
      </c>
      <c r="AG39" s="40" t="s">
        <v>183</v>
      </c>
      <c r="AH39" s="40" t="s">
        <v>184</v>
      </c>
      <c r="AI39" s="40" t="s">
        <v>185</v>
      </c>
      <c r="AJ39" s="65" t="s">
        <v>186</v>
      </c>
      <c r="AK39" s="2"/>
    </row>
    <row r="40" spans="1:37" ht="30" x14ac:dyDescent="0.25">
      <c r="B40" s="13" t="s">
        <v>45</v>
      </c>
      <c r="C40" s="3" t="s">
        <v>47</v>
      </c>
      <c r="D40" s="3" t="s">
        <v>188</v>
      </c>
      <c r="E40" s="3" t="s">
        <v>51</v>
      </c>
      <c r="F40" s="3" t="s">
        <v>53</v>
      </c>
      <c r="G40" s="3" t="s">
        <v>55</v>
      </c>
      <c r="H40" s="3" t="s">
        <v>57</v>
      </c>
      <c r="I40" s="3" t="s">
        <v>59</v>
      </c>
      <c r="J40" s="14" t="s">
        <v>61</v>
      </c>
      <c r="K40" s="2"/>
      <c r="M40" s="19" t="s">
        <v>189</v>
      </c>
      <c r="N40" s="12" t="s">
        <v>69</v>
      </c>
      <c r="O40" s="12" t="s">
        <v>71</v>
      </c>
      <c r="P40" s="12" t="s">
        <v>73</v>
      </c>
      <c r="Q40" s="12" t="s">
        <v>190</v>
      </c>
      <c r="R40" s="12" t="s">
        <v>191</v>
      </c>
      <c r="S40" s="12" t="s">
        <v>79</v>
      </c>
      <c r="T40" s="12" t="s">
        <v>81</v>
      </c>
      <c r="U40" s="12" t="s">
        <v>83</v>
      </c>
      <c r="V40" s="12" t="s">
        <v>85</v>
      </c>
      <c r="W40" s="12" t="s">
        <v>87</v>
      </c>
      <c r="X40" s="12" t="s">
        <v>89</v>
      </c>
      <c r="Y40" s="12" t="s">
        <v>91</v>
      </c>
      <c r="Z40" s="12" t="s">
        <v>93</v>
      </c>
      <c r="AA40" s="12" t="s">
        <v>192</v>
      </c>
      <c r="AB40" s="12" t="s">
        <v>96</v>
      </c>
      <c r="AC40" s="12" t="s">
        <v>98</v>
      </c>
      <c r="AD40" s="12" t="s">
        <v>100</v>
      </c>
      <c r="AE40" s="12" t="s">
        <v>102</v>
      </c>
      <c r="AF40" s="12" t="s">
        <v>104</v>
      </c>
      <c r="AG40" s="12" t="s">
        <v>106</v>
      </c>
      <c r="AH40" s="12" t="s">
        <v>108</v>
      </c>
      <c r="AI40" s="12" t="s">
        <v>110</v>
      </c>
      <c r="AJ40" s="32" t="s">
        <v>112</v>
      </c>
      <c r="AK40" s="2"/>
    </row>
    <row r="41" spans="1:37" ht="24.75" x14ac:dyDescent="0.25">
      <c r="B41" s="20" t="s">
        <v>193</v>
      </c>
      <c r="C41" s="17" t="s">
        <v>148</v>
      </c>
      <c r="D41" s="17" t="s">
        <v>194</v>
      </c>
      <c r="E41" s="17" t="s">
        <v>195</v>
      </c>
      <c r="F41" s="17" t="s">
        <v>196</v>
      </c>
      <c r="G41" s="17" t="s">
        <v>197</v>
      </c>
      <c r="H41" s="17" t="s">
        <v>148</v>
      </c>
      <c r="I41" s="17" t="s">
        <v>148</v>
      </c>
      <c r="J41" s="21" t="s">
        <v>148</v>
      </c>
      <c r="K41" s="17"/>
      <c r="M41" s="20" t="s">
        <v>193</v>
      </c>
      <c r="N41" s="10" t="s">
        <v>198</v>
      </c>
      <c r="O41" s="10" t="s">
        <v>198</v>
      </c>
      <c r="P41" s="10" t="s">
        <v>198</v>
      </c>
      <c r="Q41" s="10" t="s">
        <v>193</v>
      </c>
      <c r="R41" s="10" t="s">
        <v>193</v>
      </c>
      <c r="S41" s="10" t="s">
        <v>199</v>
      </c>
      <c r="T41" s="10" t="s">
        <v>200</v>
      </c>
      <c r="U41" s="10"/>
      <c r="V41" s="10" t="s">
        <v>201</v>
      </c>
      <c r="W41" s="10" t="s">
        <v>201</v>
      </c>
      <c r="X41" s="10" t="s">
        <v>201</v>
      </c>
      <c r="Y41" s="10" t="s">
        <v>201</v>
      </c>
      <c r="Z41" s="10" t="s">
        <v>201</v>
      </c>
      <c r="AA41" s="10" t="s">
        <v>202</v>
      </c>
      <c r="AB41" s="10" t="s">
        <v>202</v>
      </c>
      <c r="AC41" s="10" t="s">
        <v>203</v>
      </c>
      <c r="AD41" s="10" t="s">
        <v>203</v>
      </c>
      <c r="AE41" s="10" t="s">
        <v>203</v>
      </c>
      <c r="AF41" s="10" t="s">
        <v>203</v>
      </c>
      <c r="AG41" s="10" t="s">
        <v>204</v>
      </c>
      <c r="AH41" s="10" t="s">
        <v>205</v>
      </c>
      <c r="AI41" s="10" t="s">
        <v>206</v>
      </c>
      <c r="AJ41" s="25" t="s">
        <v>206</v>
      </c>
      <c r="AK41" s="10"/>
    </row>
    <row r="42" spans="1:37" x14ac:dyDescent="0.25">
      <c r="A42" s="7">
        <v>2023</v>
      </c>
      <c r="B42" s="88">
        <v>0</v>
      </c>
      <c r="C42" s="82">
        <v>0</v>
      </c>
      <c r="D42" s="82">
        <v>350</v>
      </c>
      <c r="E42" s="82">
        <v>53</v>
      </c>
      <c r="F42" s="82">
        <v>350</v>
      </c>
      <c r="G42" s="82">
        <v>41</v>
      </c>
      <c r="H42" s="90">
        <v>0.03</v>
      </c>
      <c r="I42" s="90">
        <v>1</v>
      </c>
      <c r="J42" s="83">
        <v>1</v>
      </c>
      <c r="K42" s="18"/>
      <c r="L42" s="7">
        <v>2023</v>
      </c>
      <c r="M42" s="34">
        <f>Constants!P6*Constants!B6-B42</f>
        <v>0</v>
      </c>
      <c r="N42" s="9">
        <f t="shared" ref="N42:N54" si="30">(D42*0.01+0.5)*I42+(F42*0.01+0.5)*(1-I42)</f>
        <v>4</v>
      </c>
      <c r="O42" s="9">
        <f t="shared" ref="O42:O54" si="31">(E42*0.01+0.3)*J42+(G42*0.01+0.3)*(1-J42)</f>
        <v>0.83000000000000007</v>
      </c>
      <c r="P42" s="9">
        <f t="shared" ref="P42:P54" si="32">O42+0.2*H42</f>
        <v>0.83600000000000008</v>
      </c>
      <c r="Q42" s="9">
        <f>IF(N42&gt;4,4,N42)</f>
        <v>4</v>
      </c>
      <c r="R42" s="9">
        <f t="shared" ref="R42:R54" si="33">IF(H42=0,IF(P42&gt;1.1,1.1,P42),IF(P42&gt;1.3,1.3,P42))</f>
        <v>0.83600000000000008</v>
      </c>
      <c r="S42" s="9">
        <f t="shared" ref="S42:S54" si="34">(M42*C42)/R42</f>
        <v>0</v>
      </c>
      <c r="T42" s="9">
        <f t="shared" ref="T42:T54" si="35">(M42-(M42*C42))/Q42</f>
        <v>0</v>
      </c>
      <c r="U42" s="15">
        <f>(S42+T42)/Constants!P6</f>
        <v>0</v>
      </c>
      <c r="V42" s="42">
        <f>(Constants!Q6*I42*Constants!F6*T42*0.000001)</f>
        <v>0</v>
      </c>
      <c r="W42" s="42">
        <f>(Constants!Q6*(1-I42)*Constants!G6*T42*0.000001)</f>
        <v>0</v>
      </c>
      <c r="X42" s="42">
        <f>(Constants!Q6*Constants!R6*J42*Constants!F6*S42*0.000001)</f>
        <v>0</v>
      </c>
      <c r="Y42" s="42">
        <f>(Constants!Q6*Constants!R6*(1-J42)*Constants!G6*S42*0.000001)</f>
        <v>0</v>
      </c>
      <c r="Z42" s="57">
        <f>V42+W42+X42+Y42</f>
        <v>0</v>
      </c>
      <c r="AA42" s="43">
        <f>Constants!Q6*Constants!H6*(T42+S42)/1000000</f>
        <v>0</v>
      </c>
      <c r="AB42" s="43">
        <f>AA42</f>
        <v>0</v>
      </c>
      <c r="AC42" s="44">
        <f>Constants!Q6/Constants!L6*('Minimum Compliance'!T42*I42)</f>
        <v>0</v>
      </c>
      <c r="AD42" s="44">
        <f>(Constants!Q6*Constants!R6)/Constants!L6*('Minimum Compliance'!S42*J42)</f>
        <v>0</v>
      </c>
      <c r="AE42" s="42">
        <f>Constants!Q6/Constants!M6*'Minimum Compliance'!T42*(1-I42)</f>
        <v>0</v>
      </c>
      <c r="AF42" s="42">
        <f>(Constants!Q6*Constants!R6)/Constants!M6*'Minimum Compliance'!S42*(1-J42)</f>
        <v>0</v>
      </c>
      <c r="AG42" s="9">
        <f>(AC42+AD42+AE42+AF42)*0.001</f>
        <v>0</v>
      </c>
      <c r="AH42" s="28">
        <f>(AG42*Constants!I6*Constants!K6+'Minimum Compliance'!AG42*(1-Constants!I6)*Constants!J6)*0.000453592</f>
        <v>0</v>
      </c>
      <c r="AI42" s="33">
        <f t="shared" ref="AI42:AI54" si="36">Z42-AH42</f>
        <v>0</v>
      </c>
      <c r="AJ42" s="48">
        <f>AI42</f>
        <v>0</v>
      </c>
    </row>
    <row r="43" spans="1:37" x14ac:dyDescent="0.25">
      <c r="A43" s="7">
        <v>2024</v>
      </c>
      <c r="B43" s="88">
        <v>0</v>
      </c>
      <c r="C43" s="82">
        <v>0</v>
      </c>
      <c r="D43" s="82">
        <v>350</v>
      </c>
      <c r="E43" s="82">
        <v>57</v>
      </c>
      <c r="F43" s="82">
        <v>350</v>
      </c>
      <c r="G43" s="82">
        <v>44</v>
      </c>
      <c r="H43" s="90">
        <v>0.03</v>
      </c>
      <c r="I43" s="90">
        <v>1</v>
      </c>
      <c r="J43" s="83">
        <v>1</v>
      </c>
      <c r="K43" s="18"/>
      <c r="L43" s="7">
        <v>2024</v>
      </c>
      <c r="M43" s="34">
        <f>Constants!P7*Constants!B7-B43</f>
        <v>0</v>
      </c>
      <c r="N43" s="9">
        <f t="shared" si="30"/>
        <v>4</v>
      </c>
      <c r="O43" s="9">
        <f t="shared" si="31"/>
        <v>0.87000000000000011</v>
      </c>
      <c r="P43" s="9">
        <f t="shared" si="32"/>
        <v>0.87600000000000011</v>
      </c>
      <c r="Q43" s="9">
        <f t="shared" ref="Q43:Q54" si="37">IF(N43&gt;4,4,N43)</f>
        <v>4</v>
      </c>
      <c r="R43" s="9">
        <f t="shared" si="33"/>
        <v>0.87600000000000011</v>
      </c>
      <c r="S43" s="9">
        <f t="shared" si="34"/>
        <v>0</v>
      </c>
      <c r="T43" s="9">
        <f t="shared" si="35"/>
        <v>0</v>
      </c>
      <c r="U43" s="15">
        <f>(S43+T43)/Constants!P7</f>
        <v>0</v>
      </c>
      <c r="V43" s="42">
        <f>(Constants!Q7*I43*Constants!F7*T43*0.000001)</f>
        <v>0</v>
      </c>
      <c r="W43" s="42">
        <f>(Constants!Q7*(1-I43)*Constants!G7*T43*0.000001)</f>
        <v>0</v>
      </c>
      <c r="X43" s="42">
        <f>(Constants!Q7*Constants!R7*J43*Constants!F7*S43*0.000001)</f>
        <v>0</v>
      </c>
      <c r="Y43" s="42">
        <f>(Constants!Q7*Constants!R7*(1-J43)*Constants!G7*S43*0.000001)</f>
        <v>0</v>
      </c>
      <c r="Z43" s="57">
        <f t="shared" ref="Z43:Z54" si="38">V43+W43+X43+Y43</f>
        <v>0</v>
      </c>
      <c r="AA43" s="43">
        <f>Constants!Q7*Constants!H7*(T43+S43)/1000000</f>
        <v>0</v>
      </c>
      <c r="AB43" s="43">
        <f>AB42+AA43</f>
        <v>0</v>
      </c>
      <c r="AC43" s="44">
        <f>Constants!Q7/Constants!L7*('Minimum Compliance'!T43*I43)</f>
        <v>0</v>
      </c>
      <c r="AD43" s="44">
        <f>(Constants!Q7*Constants!R7)/Constants!L7*('Minimum Compliance'!S43*J43)</f>
        <v>0</v>
      </c>
      <c r="AE43" s="42">
        <f>Constants!Q7/Constants!M7*'Minimum Compliance'!T43*(1-I43)</f>
        <v>0</v>
      </c>
      <c r="AF43" s="42">
        <f>(Constants!Q7*Constants!R7)/Constants!M7*'Minimum Compliance'!S43*(1-J43)</f>
        <v>0</v>
      </c>
      <c r="AG43" s="9">
        <f t="shared" ref="AG43:AG54" si="39">(AC43+AD43+AE43+AF43)*0.001</f>
        <v>0</v>
      </c>
      <c r="AH43" s="28">
        <f>(AG43*Constants!I7*Constants!K7+'Minimum Compliance'!AG43*(1-Constants!I7)*Constants!J7)*0.000453592</f>
        <v>0</v>
      </c>
      <c r="AI43" s="33">
        <f t="shared" si="36"/>
        <v>0</v>
      </c>
      <c r="AJ43" s="48">
        <f>AI43+AJ42</f>
        <v>0</v>
      </c>
    </row>
    <row r="44" spans="1:37" x14ac:dyDescent="0.25">
      <c r="A44" s="7">
        <v>2025</v>
      </c>
      <c r="B44" s="88">
        <v>0</v>
      </c>
      <c r="C44" s="82">
        <v>0</v>
      </c>
      <c r="D44" s="82">
        <v>350</v>
      </c>
      <c r="E44" s="82">
        <v>60</v>
      </c>
      <c r="F44" s="82">
        <v>350</v>
      </c>
      <c r="G44" s="82">
        <v>47</v>
      </c>
      <c r="H44" s="90">
        <v>0.03</v>
      </c>
      <c r="I44" s="90">
        <v>1</v>
      </c>
      <c r="J44" s="83">
        <v>1</v>
      </c>
      <c r="K44" s="18"/>
      <c r="L44" s="7">
        <v>2025</v>
      </c>
      <c r="M44" s="34">
        <f>Constants!P8*Constants!B8-B44</f>
        <v>694.66709003380106</v>
      </c>
      <c r="N44" s="9">
        <f t="shared" si="30"/>
        <v>4</v>
      </c>
      <c r="O44" s="9">
        <f t="shared" si="31"/>
        <v>0.89999999999999991</v>
      </c>
      <c r="P44" s="9">
        <f t="shared" si="32"/>
        <v>0.90599999999999992</v>
      </c>
      <c r="Q44" s="9">
        <f t="shared" si="37"/>
        <v>4</v>
      </c>
      <c r="R44" s="9">
        <f t="shared" si="33"/>
        <v>0.90599999999999992</v>
      </c>
      <c r="S44" s="9">
        <f t="shared" si="34"/>
        <v>0</v>
      </c>
      <c r="T44" s="9">
        <f t="shared" si="35"/>
        <v>173.66677250845026</v>
      </c>
      <c r="U44" s="15">
        <f>(S44+T44)/Constants!P8</f>
        <v>5.5E-2</v>
      </c>
      <c r="V44" s="42">
        <f>(Constants!Q8*I44*Constants!F8*T44*0.000001)</f>
        <v>341.51570813786742</v>
      </c>
      <c r="W44" s="42">
        <f>(Constants!Q8*(1-I44)*Constants!G8*T44*0.000001)</f>
        <v>0</v>
      </c>
      <c r="X44" s="42">
        <f>(Constants!Q8*Constants!R8*J44*Constants!F8*S44*0.000001)</f>
        <v>0</v>
      </c>
      <c r="Y44" s="42">
        <f>(Constants!Q8*Constants!R8*(1-J44)*Constants!G8*S44*0.000001)</f>
        <v>0</v>
      </c>
      <c r="Z44" s="57">
        <f t="shared" si="38"/>
        <v>341.51570813786742</v>
      </c>
      <c r="AA44" s="43">
        <f>Constants!Q8*Constants!H8*(T44+S44)/1000000</f>
        <v>9.9858394192358896E-2</v>
      </c>
      <c r="AB44" s="43">
        <f t="shared" ref="AB44:AB54" si="40">AB43+AA44</f>
        <v>9.9858394192358896E-2</v>
      </c>
      <c r="AC44" s="44">
        <f>Constants!Q8/Constants!L8*('Minimum Compliance'!T44*I44)</f>
        <v>677006.06232107722</v>
      </c>
      <c r="AD44" s="44">
        <f>(Constants!Q8*Constants!R8)/Constants!L8*('Minimum Compliance'!S44*J44)</f>
        <v>0</v>
      </c>
      <c r="AE44" s="42">
        <f>Constants!Q8/Constants!M8*'Minimum Compliance'!T44*(1-I44)</f>
        <v>0</v>
      </c>
      <c r="AF44" s="42">
        <f>(Constants!Q8*Constants!R8)/Constants!M8*'Minimum Compliance'!S44*(1-J44)</f>
        <v>0</v>
      </c>
      <c r="AG44" s="9">
        <f t="shared" si="39"/>
        <v>677.00606232107725</v>
      </c>
      <c r="AH44" s="28">
        <f>(AG44*Constants!I8*Constants!K8+'Minimum Compliance'!AG44*(1-Constants!I8)*Constants!J8)*0.000453592</f>
        <v>206.76018976777726</v>
      </c>
      <c r="AI44" s="33">
        <f t="shared" si="36"/>
        <v>134.75551837009016</v>
      </c>
      <c r="AJ44" s="48">
        <f t="shared" ref="AJ44:AJ54" si="41">AI44+AJ43</f>
        <v>134.75551837009016</v>
      </c>
    </row>
    <row r="45" spans="1:37" x14ac:dyDescent="0.25">
      <c r="A45" s="7">
        <v>2026</v>
      </c>
      <c r="B45" s="88">
        <v>0</v>
      </c>
      <c r="C45" s="82">
        <v>0</v>
      </c>
      <c r="D45" s="82">
        <v>350</v>
      </c>
      <c r="E45" s="82">
        <v>64</v>
      </c>
      <c r="F45" s="82">
        <v>350</v>
      </c>
      <c r="G45" s="82">
        <v>50</v>
      </c>
      <c r="H45" s="90">
        <v>0.03</v>
      </c>
      <c r="I45" s="90">
        <v>1</v>
      </c>
      <c r="J45" s="83">
        <v>1</v>
      </c>
      <c r="K45" s="18"/>
      <c r="L45" s="7">
        <v>2026</v>
      </c>
      <c r="M45" s="34">
        <f>Constants!P9*Constants!B9-B45</f>
        <v>710.76790330840936</v>
      </c>
      <c r="N45" s="9">
        <f t="shared" si="30"/>
        <v>4</v>
      </c>
      <c r="O45" s="9">
        <f t="shared" si="31"/>
        <v>0.94</v>
      </c>
      <c r="P45" s="9">
        <f t="shared" si="32"/>
        <v>0.94599999999999995</v>
      </c>
      <c r="Q45" s="9">
        <f t="shared" si="37"/>
        <v>4</v>
      </c>
      <c r="R45" s="9">
        <f t="shared" si="33"/>
        <v>0.94599999999999995</v>
      </c>
      <c r="S45" s="9">
        <f t="shared" si="34"/>
        <v>0</v>
      </c>
      <c r="T45" s="9">
        <f t="shared" si="35"/>
        <v>177.69197582710234</v>
      </c>
      <c r="U45" s="15">
        <f>(S45+T45)/Constants!P9</f>
        <v>5.5E-2</v>
      </c>
      <c r="V45" s="42">
        <f>(Constants!Q9*I45*Constants!F9*T45*0.000001)</f>
        <v>343.30089729796168</v>
      </c>
      <c r="W45" s="42">
        <f>(Constants!Q9*(1-I45)*Constants!G9*T45*0.000001)</f>
        <v>0</v>
      </c>
      <c r="X45" s="42">
        <f>(Constants!Q9*Constants!R9*J45*Constants!F9*S45*0.000001)</f>
        <v>0</v>
      </c>
      <c r="Y45" s="42">
        <f>(Constants!Q9*Constants!R9*(1-J45)*Constants!G9*S45*0.000001)</f>
        <v>0</v>
      </c>
      <c r="Z45" s="57">
        <f t="shared" si="38"/>
        <v>343.30089729796168</v>
      </c>
      <c r="AA45" s="43">
        <f>Constants!Q9*Constants!H9*(T45+S45)/1000000</f>
        <v>0.10217288610058384</v>
      </c>
      <c r="AB45" s="43">
        <f t="shared" si="40"/>
        <v>0.20203128029294273</v>
      </c>
      <c r="AC45" s="44">
        <f>Constants!Q9/Constants!L9*('Minimum Compliance'!T45*I45)</f>
        <v>692697.5328853142</v>
      </c>
      <c r="AD45" s="44">
        <f>(Constants!Q9*Constants!R9)/Constants!L9*('Minimum Compliance'!S45*J45)</f>
        <v>0</v>
      </c>
      <c r="AE45" s="42">
        <f>Constants!Q9/Constants!M9*'Minimum Compliance'!T45*(1-I45)</f>
        <v>0</v>
      </c>
      <c r="AF45" s="42">
        <f>(Constants!Q9*Constants!R9)/Constants!M9*'Minimum Compliance'!S45*(1-J45)</f>
        <v>0</v>
      </c>
      <c r="AG45" s="9">
        <f t="shared" si="39"/>
        <v>692.69753288531422</v>
      </c>
      <c r="AH45" s="28">
        <f>(AG45*Constants!I9*Constants!K9+'Minimum Compliance'!AG45*(1-Constants!I9)*Constants!J9)*0.000453592</f>
        <v>210.78527599854132</v>
      </c>
      <c r="AI45" s="33">
        <f t="shared" si="36"/>
        <v>132.51562129942036</v>
      </c>
      <c r="AJ45" s="48">
        <f t="shared" si="41"/>
        <v>267.27113966951049</v>
      </c>
    </row>
    <row r="46" spans="1:37" x14ac:dyDescent="0.25">
      <c r="A46" s="7">
        <v>2027</v>
      </c>
      <c r="B46" s="88">
        <v>0</v>
      </c>
      <c r="C46" s="82">
        <v>0</v>
      </c>
      <c r="D46" s="82">
        <v>350</v>
      </c>
      <c r="E46" s="82">
        <v>68</v>
      </c>
      <c r="F46" s="82">
        <v>350</v>
      </c>
      <c r="G46" s="82">
        <v>52</v>
      </c>
      <c r="H46" s="90">
        <v>0.03</v>
      </c>
      <c r="I46" s="90">
        <v>1</v>
      </c>
      <c r="J46" s="83">
        <v>1</v>
      </c>
      <c r="K46" s="18"/>
      <c r="L46" s="7">
        <v>2027</v>
      </c>
      <c r="M46" s="34">
        <f>Constants!P10*Constants!B10-B46</f>
        <v>711.79035952063919</v>
      </c>
      <c r="N46" s="9">
        <f t="shared" si="30"/>
        <v>4</v>
      </c>
      <c r="O46" s="9">
        <f t="shared" si="31"/>
        <v>0.98</v>
      </c>
      <c r="P46" s="9">
        <f t="shared" si="32"/>
        <v>0.98599999999999999</v>
      </c>
      <c r="Q46" s="9">
        <f t="shared" si="37"/>
        <v>4</v>
      </c>
      <c r="R46" s="9">
        <f t="shared" si="33"/>
        <v>0.98599999999999999</v>
      </c>
      <c r="S46" s="9">
        <f t="shared" si="34"/>
        <v>0</v>
      </c>
      <c r="T46" s="9">
        <f t="shared" si="35"/>
        <v>177.9475898801598</v>
      </c>
      <c r="U46" s="15">
        <f>(S46+T46)/Constants!P10</f>
        <v>5.5E-2</v>
      </c>
      <c r="V46" s="42">
        <f>(Constants!Q10*I46*Constants!F10*T46*0.000001)</f>
        <v>343.79474364846874</v>
      </c>
      <c r="W46" s="42">
        <f>(Constants!Q10*(1-I46)*Constants!G10*T46*0.000001)</f>
        <v>0</v>
      </c>
      <c r="X46" s="42">
        <f>(Constants!Q10*Constants!R10*J46*Constants!F10*S46*0.000001)</f>
        <v>0</v>
      </c>
      <c r="Y46" s="42">
        <f>(Constants!Q10*Constants!R10*(1-J46)*Constants!G10*S46*0.000001)</f>
        <v>0</v>
      </c>
      <c r="Z46" s="57">
        <f t="shared" si="38"/>
        <v>343.79474364846874</v>
      </c>
      <c r="AA46" s="43">
        <f>Constants!Q10*Constants!H10*(T46+S46)/1000000</f>
        <v>0.10231986418109187</v>
      </c>
      <c r="AB46" s="43">
        <f t="shared" si="40"/>
        <v>0.30435114447403461</v>
      </c>
      <c r="AC46" s="44">
        <f>Constants!Q10/Constants!L10*('Minimum Compliance'!T46*I46)</f>
        <v>693693.99444808054</v>
      </c>
      <c r="AD46" s="44">
        <f>(Constants!Q10*Constants!R10)/Constants!L10*('Minimum Compliance'!S46*J46)</f>
        <v>0</v>
      </c>
      <c r="AE46" s="42">
        <f>Constants!Q10/Constants!M10*'Minimum Compliance'!T46*(1-I46)</f>
        <v>0</v>
      </c>
      <c r="AF46" s="42">
        <f>(Constants!Q10*Constants!R10)/Constants!M10*'Minimum Compliance'!S46*(1-J46)</f>
        <v>0</v>
      </c>
      <c r="AG46" s="9">
        <f t="shared" si="39"/>
        <v>693.6939944480805</v>
      </c>
      <c r="AH46" s="28">
        <f>(AG46*Constants!I10*Constants!K10+'Minimum Compliance'!AG46*(1-Constants!I10)*Constants!J10)*0.000453592</f>
        <v>204.6682544938856</v>
      </c>
      <c r="AI46" s="33">
        <f t="shared" si="36"/>
        <v>139.12648915458314</v>
      </c>
      <c r="AJ46" s="48">
        <f t="shared" si="41"/>
        <v>406.39762882409366</v>
      </c>
    </row>
    <row r="47" spans="1:37" x14ac:dyDescent="0.25">
      <c r="A47" s="7">
        <v>2028</v>
      </c>
      <c r="B47" s="88">
        <v>0</v>
      </c>
      <c r="C47" s="82">
        <v>0</v>
      </c>
      <c r="D47" s="82">
        <v>350</v>
      </c>
      <c r="E47" s="82">
        <v>71</v>
      </c>
      <c r="F47" s="82">
        <v>350</v>
      </c>
      <c r="G47" s="82">
        <v>55</v>
      </c>
      <c r="H47" s="90">
        <v>0.03</v>
      </c>
      <c r="I47" s="90">
        <v>1</v>
      </c>
      <c r="J47" s="83">
        <v>1</v>
      </c>
      <c r="K47" s="18"/>
      <c r="L47" s="7">
        <v>2028</v>
      </c>
      <c r="M47" s="34">
        <f>Constants!P11*Constants!B11-B47</f>
        <v>705.06972037283629</v>
      </c>
      <c r="N47" s="9">
        <f t="shared" si="30"/>
        <v>4</v>
      </c>
      <c r="O47" s="9">
        <f t="shared" si="31"/>
        <v>1.01</v>
      </c>
      <c r="P47" s="9">
        <f t="shared" si="32"/>
        <v>1.016</v>
      </c>
      <c r="Q47" s="9">
        <f t="shared" si="37"/>
        <v>4</v>
      </c>
      <c r="R47" s="9">
        <f t="shared" si="33"/>
        <v>1.016</v>
      </c>
      <c r="S47" s="9">
        <f t="shared" si="34"/>
        <v>0</v>
      </c>
      <c r="T47" s="9">
        <f t="shared" si="35"/>
        <v>176.26743009320907</v>
      </c>
      <c r="U47" s="15">
        <f>(S47+T47)/Constants!P11</f>
        <v>5.5000000000000007E-2</v>
      </c>
      <c r="V47" s="42">
        <f>(Constants!Q11*I47*Constants!F11*T47*0.000001)</f>
        <v>340.54867494007993</v>
      </c>
      <c r="W47" s="42">
        <f>(Constants!Q11*(1-I47)*Constants!G11*T47*0.000001)</f>
        <v>0</v>
      </c>
      <c r="X47" s="42">
        <f>(Constants!Q11*Constants!R11*J47*Constants!F11*S47*0.000001)</f>
        <v>0</v>
      </c>
      <c r="Y47" s="42">
        <f>(Constants!Q11*Constants!R11*(1-J47)*Constants!G11*S47*0.000001)</f>
        <v>0</v>
      </c>
      <c r="Z47" s="57">
        <f t="shared" si="38"/>
        <v>340.54867494007993</v>
      </c>
      <c r="AA47" s="43">
        <f>Constants!Q11*Constants!H11*(T47+S47)/1000000</f>
        <v>0.10135377230359523</v>
      </c>
      <c r="AB47" s="43">
        <f t="shared" si="40"/>
        <v>0.40570491677762982</v>
      </c>
      <c r="AC47" s="44">
        <f>Constants!Q11/Constants!L11*('Minimum Compliance'!T47*I47)</f>
        <v>687144.21900742513</v>
      </c>
      <c r="AD47" s="44">
        <f>(Constants!Q11*Constants!R11)/Constants!L11*('Minimum Compliance'!S47*J47)</f>
        <v>0</v>
      </c>
      <c r="AE47" s="42">
        <f>Constants!Q11/Constants!M11*'Minimum Compliance'!T47*(1-I47)</f>
        <v>0</v>
      </c>
      <c r="AF47" s="42">
        <f>(Constants!Q11*Constants!R11)/Constants!M11*'Minimum Compliance'!S47*(1-J47)</f>
        <v>0</v>
      </c>
      <c r="AG47" s="9">
        <f t="shared" si="39"/>
        <v>687.14421900742514</v>
      </c>
      <c r="AH47" s="28">
        <f>(AG47*Constants!I11*Constants!K11+'Minimum Compliance'!AG47*(1-Constants!I11)*Constants!J11)*0.000453592</f>
        <v>196.45691427005198</v>
      </c>
      <c r="AI47" s="33">
        <f t="shared" si="36"/>
        <v>144.09176067002795</v>
      </c>
      <c r="AJ47" s="48">
        <f t="shared" si="41"/>
        <v>550.48938949412161</v>
      </c>
    </row>
    <row r="48" spans="1:37" x14ac:dyDescent="0.25">
      <c r="A48" s="7">
        <v>2029</v>
      </c>
      <c r="B48" s="88">
        <v>0</v>
      </c>
      <c r="C48" s="82">
        <v>0</v>
      </c>
      <c r="D48" s="82">
        <v>350</v>
      </c>
      <c r="E48" s="82">
        <v>75</v>
      </c>
      <c r="F48" s="82">
        <v>350</v>
      </c>
      <c r="G48" s="82">
        <v>58</v>
      </c>
      <c r="H48" s="90">
        <v>0.03</v>
      </c>
      <c r="I48" s="90">
        <v>1</v>
      </c>
      <c r="J48" s="83">
        <v>1</v>
      </c>
      <c r="K48" s="18"/>
      <c r="L48" s="7">
        <v>2029</v>
      </c>
      <c r="M48" s="34">
        <f>Constants!P12*Constants!B12-B48</f>
        <v>710.69322954010033</v>
      </c>
      <c r="N48" s="9">
        <f t="shared" si="30"/>
        <v>4</v>
      </c>
      <c r="O48" s="9">
        <f t="shared" si="31"/>
        <v>1.05</v>
      </c>
      <c r="P48" s="9">
        <f t="shared" si="32"/>
        <v>1.056</v>
      </c>
      <c r="Q48" s="9">
        <f t="shared" si="37"/>
        <v>4</v>
      </c>
      <c r="R48" s="9">
        <f t="shared" si="33"/>
        <v>1.056</v>
      </c>
      <c r="S48" s="9">
        <f t="shared" si="34"/>
        <v>0</v>
      </c>
      <c r="T48" s="9">
        <f t="shared" si="35"/>
        <v>177.67330738502508</v>
      </c>
      <c r="U48" s="15">
        <f>(S48+T48)/Constants!P12</f>
        <v>5.5E-2</v>
      </c>
      <c r="V48" s="42">
        <f>(Constants!Q12*I48*Constants!F12*T48*0.000001)</f>
        <v>343.26482986786846</v>
      </c>
      <c r="W48" s="42">
        <f>(Constants!Q12*(1-I48)*Constants!G12*T48*0.000001)</f>
        <v>0</v>
      </c>
      <c r="X48" s="42">
        <f>(Constants!Q12*Constants!R12*J48*Constants!F12*S48*0.000001)</f>
        <v>0</v>
      </c>
      <c r="Y48" s="42">
        <f>(Constants!Q12*Constants!R12*(1-J48)*Constants!G12*S48*0.000001)</f>
        <v>0</v>
      </c>
      <c r="Z48" s="57">
        <f t="shared" si="38"/>
        <v>343.26482986786846</v>
      </c>
      <c r="AA48" s="43">
        <f>Constants!Q12*Constants!H12*(T48+S48)/1000000</f>
        <v>0.10216215174638943</v>
      </c>
      <c r="AB48" s="43">
        <f t="shared" si="40"/>
        <v>0.50786706852401919</v>
      </c>
      <c r="AC48" s="44">
        <f>Constants!Q12/Constants!L12*('Minimum Compliance'!T48*I48)</f>
        <v>692624.75760264008</v>
      </c>
      <c r="AD48" s="44">
        <f>(Constants!Q12*Constants!R12)/Constants!L12*('Minimum Compliance'!S48*J48)</f>
        <v>0</v>
      </c>
      <c r="AE48" s="42">
        <f>Constants!Q12/Constants!M12*'Minimum Compliance'!T48*(1-I48)</f>
        <v>0</v>
      </c>
      <c r="AF48" s="42">
        <f>(Constants!Q12*Constants!R12)/Constants!M12*'Minimum Compliance'!S48*(1-J48)</f>
        <v>0</v>
      </c>
      <c r="AG48" s="9">
        <f t="shared" si="39"/>
        <v>692.6247576026401</v>
      </c>
      <c r="AH48" s="28">
        <f>(AG48*Constants!I12*Constants!K12+'Minimum Compliance'!AG48*(1-Constants!I12)*Constants!J12)*0.000453592</f>
        <v>196.89131192376794</v>
      </c>
      <c r="AI48" s="33">
        <f t="shared" si="36"/>
        <v>146.37351794410051</v>
      </c>
      <c r="AJ48" s="48">
        <f t="shared" si="41"/>
        <v>696.86290743822212</v>
      </c>
    </row>
    <row r="49" spans="1:36" x14ac:dyDescent="0.25">
      <c r="A49" s="7">
        <v>2030</v>
      </c>
      <c r="B49" s="88">
        <v>0</v>
      </c>
      <c r="C49" s="82">
        <v>0</v>
      </c>
      <c r="D49" s="82">
        <v>350</v>
      </c>
      <c r="E49" s="82">
        <v>78</v>
      </c>
      <c r="F49" s="82">
        <v>350</v>
      </c>
      <c r="G49" s="82">
        <v>60</v>
      </c>
      <c r="H49" s="90">
        <v>0.03</v>
      </c>
      <c r="I49" s="90">
        <v>1</v>
      </c>
      <c r="J49" s="83">
        <v>1</v>
      </c>
      <c r="K49" s="18"/>
      <c r="L49" s="7">
        <v>2030</v>
      </c>
      <c r="M49" s="34">
        <f>Constants!P13*Constants!B13-B49</f>
        <v>714.71412475673458</v>
      </c>
      <c r="N49" s="9">
        <f t="shared" si="30"/>
        <v>4</v>
      </c>
      <c r="O49" s="9">
        <f t="shared" si="31"/>
        <v>1.08</v>
      </c>
      <c r="P49" s="9">
        <f t="shared" si="32"/>
        <v>1.0860000000000001</v>
      </c>
      <c r="Q49" s="9">
        <f t="shared" si="37"/>
        <v>4</v>
      </c>
      <c r="R49" s="9">
        <f t="shared" si="33"/>
        <v>1.0860000000000001</v>
      </c>
      <c r="S49" s="9">
        <f t="shared" si="34"/>
        <v>0</v>
      </c>
      <c r="T49" s="9">
        <f t="shared" si="35"/>
        <v>178.67853118918364</v>
      </c>
      <c r="U49" s="15">
        <f>(S49+T49)/Constants!P13</f>
        <v>5.5E-2</v>
      </c>
      <c r="V49" s="42">
        <f>(Constants!Q13*I49*Constants!F13*T49*0.000001)</f>
        <v>345.20692225750275</v>
      </c>
      <c r="W49" s="42">
        <f>(Constants!Q13*(1-I49)*Constants!G13*T49*0.000001)</f>
        <v>0</v>
      </c>
      <c r="X49" s="42">
        <f>(Constants!Q13*Constants!R13*J49*Constants!F13*S49*0.000001)</f>
        <v>0</v>
      </c>
      <c r="Y49" s="42">
        <f>(Constants!Q13*Constants!R13*(1-J49)*Constants!G13*S49*0.000001)</f>
        <v>0</v>
      </c>
      <c r="Z49" s="57">
        <f t="shared" si="38"/>
        <v>345.20692225750275</v>
      </c>
      <c r="AA49" s="43">
        <f>Constants!Q13*Constants!H13*(T49+S49)/1000000</f>
        <v>0.10274015543378059</v>
      </c>
      <c r="AB49" s="43">
        <f t="shared" si="40"/>
        <v>0.61060722395779976</v>
      </c>
      <c r="AC49" s="44">
        <f>Constants!Q13/Constants!L13*('Minimum Compliance'!T49*I49)</f>
        <v>696543.42666969891</v>
      </c>
      <c r="AD49" s="44">
        <f>(Constants!Q13*Constants!R13)/Constants!L13*('Minimum Compliance'!S49*J49)</f>
        <v>0</v>
      </c>
      <c r="AE49" s="42">
        <f>Constants!Q13/Constants!M13*'Minimum Compliance'!T49*(1-I49)</f>
        <v>0</v>
      </c>
      <c r="AF49" s="42">
        <f>(Constants!Q13*Constants!R13)/Constants!M13*'Minimum Compliance'!S49*(1-J49)</f>
        <v>0</v>
      </c>
      <c r="AG49" s="9">
        <f t="shared" si="39"/>
        <v>696.54342666969887</v>
      </c>
      <c r="AH49" s="28">
        <f>(AG49*Constants!I13*Constants!K13+'Minimum Compliance'!AG49*(1-Constants!I13)*Constants!J13)*0.000453592</f>
        <v>192.96068888169256</v>
      </c>
      <c r="AI49" s="33">
        <f t="shared" si="36"/>
        <v>152.24623337581019</v>
      </c>
      <c r="AJ49" s="48">
        <f t="shared" si="41"/>
        <v>849.10914081403234</v>
      </c>
    </row>
    <row r="50" spans="1:36" x14ac:dyDescent="0.25">
      <c r="A50" s="7">
        <v>2031</v>
      </c>
      <c r="B50" s="88">
        <v>0</v>
      </c>
      <c r="C50" s="82">
        <v>0</v>
      </c>
      <c r="D50" s="82">
        <v>350</v>
      </c>
      <c r="E50" s="82">
        <v>80</v>
      </c>
      <c r="F50" s="82">
        <v>350</v>
      </c>
      <c r="G50" s="82">
        <v>63</v>
      </c>
      <c r="H50" s="90">
        <v>0.03</v>
      </c>
      <c r="I50" s="90">
        <v>1</v>
      </c>
      <c r="J50" s="83">
        <v>1</v>
      </c>
      <c r="K50" s="18"/>
      <c r="L50" s="7">
        <v>2031</v>
      </c>
      <c r="M50" s="34">
        <f>Constants!P14*Constants!B14-B50</f>
        <v>717.22431219911914</v>
      </c>
      <c r="N50" s="9">
        <f t="shared" si="30"/>
        <v>4</v>
      </c>
      <c r="O50" s="9">
        <f t="shared" si="31"/>
        <v>1.1000000000000001</v>
      </c>
      <c r="P50" s="9">
        <f t="shared" si="32"/>
        <v>1.1060000000000001</v>
      </c>
      <c r="Q50" s="9">
        <f t="shared" si="37"/>
        <v>4</v>
      </c>
      <c r="R50" s="9">
        <f t="shared" si="33"/>
        <v>1.1060000000000001</v>
      </c>
      <c r="S50" s="9">
        <f t="shared" si="34"/>
        <v>0</v>
      </c>
      <c r="T50" s="9">
        <f t="shared" si="35"/>
        <v>179.30607804977979</v>
      </c>
      <c r="U50" s="15">
        <f>(S50+T50)/Constants!P14</f>
        <v>5.5E-2</v>
      </c>
      <c r="V50" s="42">
        <f>(Constants!Q14*I50*Constants!F14*T50*0.000001)</f>
        <v>346.41934279217452</v>
      </c>
      <c r="W50" s="42">
        <f>(Constants!Q14*(1-I50)*Constants!G14*T50*0.000001)</f>
        <v>0</v>
      </c>
      <c r="X50" s="42">
        <f>(Constants!Q14*Constants!R14*J50*Constants!F14*S50*0.000001)</f>
        <v>0</v>
      </c>
      <c r="Y50" s="42">
        <f>(Constants!Q14*Constants!R14*(1-J50)*Constants!G14*S50*0.000001)</f>
        <v>0</v>
      </c>
      <c r="Z50" s="57">
        <f t="shared" si="38"/>
        <v>346.41934279217452</v>
      </c>
      <c r="AA50" s="43">
        <f>Constants!Q14*Constants!H14*(T50+S50)/1000000</f>
        <v>0.10310099487862337</v>
      </c>
      <c r="AB50" s="43">
        <f t="shared" si="40"/>
        <v>0.7137082188364231</v>
      </c>
      <c r="AC50" s="44">
        <f>Constants!Q14/Constants!L14*('Minimum Compliance'!T50*I50)</f>
        <v>698989.79578727705</v>
      </c>
      <c r="AD50" s="44">
        <f>(Constants!Q14*Constants!R14)/Constants!L14*('Minimum Compliance'!S50*J50)</f>
        <v>0</v>
      </c>
      <c r="AE50" s="42">
        <f>Constants!Q14/Constants!M14*'Minimum Compliance'!T50*(1-I50)</f>
        <v>0</v>
      </c>
      <c r="AF50" s="42">
        <f>(Constants!Q14*Constants!R14)/Constants!M14*'Minimum Compliance'!S50*(1-J50)</f>
        <v>0</v>
      </c>
      <c r="AG50" s="9">
        <f t="shared" si="39"/>
        <v>698.9897957872771</v>
      </c>
      <c r="AH50" s="28">
        <f>(AG50*Constants!I14*Constants!K14+'Minimum Compliance'!AG50*(1-Constants!I14)*Constants!J14)*0.000453592</f>
        <v>191.25984795984567</v>
      </c>
      <c r="AI50" s="33">
        <f t="shared" si="36"/>
        <v>155.15949483232885</v>
      </c>
      <c r="AJ50" s="48">
        <f t="shared" si="41"/>
        <v>1004.2686356463612</v>
      </c>
    </row>
    <row r="51" spans="1:36" x14ac:dyDescent="0.25">
      <c r="A51" s="7">
        <v>2032</v>
      </c>
      <c r="B51" s="88">
        <v>0</v>
      </c>
      <c r="C51" s="82">
        <v>0</v>
      </c>
      <c r="D51" s="82">
        <v>350</v>
      </c>
      <c r="E51" s="82">
        <v>80</v>
      </c>
      <c r="F51" s="82">
        <v>350</v>
      </c>
      <c r="G51" s="82">
        <v>66</v>
      </c>
      <c r="H51" s="90">
        <v>0.03</v>
      </c>
      <c r="I51" s="90">
        <v>1</v>
      </c>
      <c r="J51" s="83">
        <v>1</v>
      </c>
      <c r="K51" s="18"/>
      <c r="L51" s="7">
        <v>2032</v>
      </c>
      <c r="M51" s="34">
        <f>Constants!P15*Constants!B15-B51</f>
        <v>723.2269343439516</v>
      </c>
      <c r="N51" s="9">
        <f t="shared" si="30"/>
        <v>4</v>
      </c>
      <c r="O51" s="9">
        <f t="shared" si="31"/>
        <v>1.1000000000000001</v>
      </c>
      <c r="P51" s="9">
        <f t="shared" si="32"/>
        <v>1.1060000000000001</v>
      </c>
      <c r="Q51" s="9">
        <f t="shared" si="37"/>
        <v>4</v>
      </c>
      <c r="R51" s="9">
        <f t="shared" si="33"/>
        <v>1.1060000000000001</v>
      </c>
      <c r="S51" s="9">
        <f t="shared" si="34"/>
        <v>0</v>
      </c>
      <c r="T51" s="9">
        <f t="shared" si="35"/>
        <v>180.8067335859879</v>
      </c>
      <c r="U51" s="15">
        <f>(S51+T51)/Constants!P15</f>
        <v>5.4999999999999993E-2</v>
      </c>
      <c r="V51" s="42">
        <f>(Constants!Q15*I51*Constants!F15*T51*0.000001)</f>
        <v>349.31860928812858</v>
      </c>
      <c r="W51" s="42">
        <f>(Constants!Q15*(1-I51)*Constants!G15*T51*0.000001)</f>
        <v>0</v>
      </c>
      <c r="X51" s="42">
        <f>(Constants!Q15*Constants!R15*J51*Constants!F15*S51*0.000001)</f>
        <v>0</v>
      </c>
      <c r="Y51" s="42">
        <f>(Constants!Q15*Constants!R15*(1-J51)*Constants!G15*S51*0.000001)</f>
        <v>0</v>
      </c>
      <c r="Z51" s="57">
        <f t="shared" si="38"/>
        <v>349.31860928812858</v>
      </c>
      <c r="AA51" s="43">
        <f>Constants!Q15*Constants!H15*(T51+S51)/1000000</f>
        <v>0.10396387181194304</v>
      </c>
      <c r="AB51" s="43">
        <f t="shared" si="40"/>
        <v>0.8176720906483661</v>
      </c>
      <c r="AC51" s="44">
        <f>Constants!Q15/Constants!L15*('Minimum Compliance'!T51*I51)</f>
        <v>704839.80889452912</v>
      </c>
      <c r="AD51" s="44">
        <f>(Constants!Q15*Constants!R15)/Constants!L15*('Minimum Compliance'!S51*J51)</f>
        <v>0</v>
      </c>
      <c r="AE51" s="42">
        <f>Constants!Q15/Constants!M15*'Minimum Compliance'!T51*(1-I51)</f>
        <v>0</v>
      </c>
      <c r="AF51" s="42">
        <f>(Constants!Q15*Constants!R15)/Constants!M15*'Minimum Compliance'!S51*(1-J51)</f>
        <v>0</v>
      </c>
      <c r="AG51" s="9">
        <f t="shared" si="39"/>
        <v>704.83980889452914</v>
      </c>
      <c r="AH51" s="28">
        <f>(AG51*Constants!I15*Constants!K15+'Minimum Compliance'!AG51*(1-Constants!I15)*Constants!J15)*0.000453592</f>
        <v>173.23888699968242</v>
      </c>
      <c r="AI51" s="33">
        <f t="shared" si="36"/>
        <v>176.07972228844616</v>
      </c>
      <c r="AJ51" s="48">
        <f t="shared" si="41"/>
        <v>1180.3483579348074</v>
      </c>
    </row>
    <row r="52" spans="1:36" x14ac:dyDescent="0.25">
      <c r="A52" s="7">
        <v>2033</v>
      </c>
      <c r="B52" s="88">
        <v>0</v>
      </c>
      <c r="C52" s="82">
        <v>0</v>
      </c>
      <c r="D52" s="82">
        <v>350</v>
      </c>
      <c r="E52" s="82">
        <v>80</v>
      </c>
      <c r="F52" s="82">
        <v>350</v>
      </c>
      <c r="G52" s="82">
        <v>69</v>
      </c>
      <c r="H52" s="90">
        <v>0.03</v>
      </c>
      <c r="I52" s="90">
        <v>1</v>
      </c>
      <c r="J52" s="83">
        <v>1</v>
      </c>
      <c r="K52" s="18"/>
      <c r="L52" s="7">
        <v>2033</v>
      </c>
      <c r="M52" s="34">
        <f>Constants!P16*Constants!B16-B52</f>
        <v>725.59351838574207</v>
      </c>
      <c r="N52" s="9">
        <f t="shared" si="30"/>
        <v>4</v>
      </c>
      <c r="O52" s="9">
        <f t="shared" si="31"/>
        <v>1.1000000000000001</v>
      </c>
      <c r="P52" s="9">
        <f t="shared" si="32"/>
        <v>1.1060000000000001</v>
      </c>
      <c r="Q52" s="9">
        <f t="shared" si="37"/>
        <v>4</v>
      </c>
      <c r="R52" s="9">
        <f t="shared" si="33"/>
        <v>1.1060000000000001</v>
      </c>
      <c r="S52" s="9">
        <f t="shared" si="34"/>
        <v>0</v>
      </c>
      <c r="T52" s="9">
        <f t="shared" si="35"/>
        <v>181.39837959643552</v>
      </c>
      <c r="U52" s="15">
        <f>(S52+T52)/Constants!P16</f>
        <v>5.5E-2</v>
      </c>
      <c r="V52" s="42">
        <f>(Constants!Q16*I52*Constants!F16*T52*0.000001)</f>
        <v>350.46166938031337</v>
      </c>
      <c r="W52" s="42">
        <f>(Constants!Q16*(1-I52)*Constants!G16*T52*0.000001)</f>
        <v>0</v>
      </c>
      <c r="X52" s="42">
        <f>(Constants!Q16*Constants!R16*J52*Constants!F16*S52*0.000001)</f>
        <v>0</v>
      </c>
      <c r="Y52" s="42">
        <f>(Constants!Q16*Constants!R16*(1-J52)*Constants!G16*S52*0.000001)</f>
        <v>0</v>
      </c>
      <c r="Z52" s="57">
        <f t="shared" si="38"/>
        <v>350.46166938031337</v>
      </c>
      <c r="AA52" s="43">
        <f>Constants!Q16*Constants!H16*(T52+S52)/1000000</f>
        <v>0.10430406826795043</v>
      </c>
      <c r="AB52" s="43">
        <f t="shared" si="40"/>
        <v>0.92197615891631657</v>
      </c>
      <c r="AC52" s="44">
        <f>Constants!Q16/Constants!L16*('Minimum Compliance'!T52*I52)</f>
        <v>707146.2255454266</v>
      </c>
      <c r="AD52" s="44">
        <f>(Constants!Q16*Constants!R16)/Constants!L16*('Minimum Compliance'!S52*J52)</f>
        <v>0</v>
      </c>
      <c r="AE52" s="42">
        <f>Constants!Q16/Constants!M16*'Minimum Compliance'!T52*(1-I52)</f>
        <v>0</v>
      </c>
      <c r="AF52" s="42">
        <f>(Constants!Q16*Constants!R16)/Constants!M16*'Minimum Compliance'!S52*(1-J52)</f>
        <v>0</v>
      </c>
      <c r="AG52" s="9">
        <f t="shared" si="39"/>
        <v>707.14622554542666</v>
      </c>
      <c r="AH52" s="28">
        <f>(AG52*Constants!I16*Constants!K16+'Minimum Compliance'!AG52*(1-Constants!I16)*Constants!J16)*0.000453592</f>
        <v>181.8200921920677</v>
      </c>
      <c r="AI52" s="33">
        <f t="shared" si="36"/>
        <v>168.64157718824566</v>
      </c>
      <c r="AJ52" s="48">
        <f t="shared" si="41"/>
        <v>1348.9899351230531</v>
      </c>
    </row>
    <row r="53" spans="1:36" x14ac:dyDescent="0.25">
      <c r="A53" s="7">
        <v>2034</v>
      </c>
      <c r="B53" s="88">
        <v>0</v>
      </c>
      <c r="C53" s="82">
        <v>0</v>
      </c>
      <c r="D53" s="82">
        <v>350</v>
      </c>
      <c r="E53" s="82">
        <v>80</v>
      </c>
      <c r="F53" s="82">
        <v>350</v>
      </c>
      <c r="G53" s="82">
        <v>71</v>
      </c>
      <c r="H53" s="90">
        <v>0.03</v>
      </c>
      <c r="I53" s="90">
        <v>1</v>
      </c>
      <c r="J53" s="83">
        <v>1</v>
      </c>
      <c r="K53" s="18"/>
      <c r="L53" s="7">
        <v>2034</v>
      </c>
      <c r="M53" s="34">
        <f>Constants!P17*Constants!B17-B53</f>
        <v>730.69431117484385</v>
      </c>
      <c r="N53" s="9">
        <f t="shared" si="30"/>
        <v>4</v>
      </c>
      <c r="O53" s="9">
        <f t="shared" si="31"/>
        <v>1.1000000000000001</v>
      </c>
      <c r="P53" s="9">
        <f t="shared" si="32"/>
        <v>1.1060000000000001</v>
      </c>
      <c r="Q53" s="9">
        <f t="shared" si="37"/>
        <v>4</v>
      </c>
      <c r="R53" s="9">
        <f t="shared" si="33"/>
        <v>1.1060000000000001</v>
      </c>
      <c r="S53" s="9">
        <f t="shared" si="34"/>
        <v>0</v>
      </c>
      <c r="T53" s="9">
        <f t="shared" si="35"/>
        <v>182.67357779371096</v>
      </c>
      <c r="U53" s="15">
        <f>(S53+T53)/Constants!P17</f>
        <v>5.5E-2</v>
      </c>
      <c r="V53" s="42">
        <f>(Constants!Q17*I53*Constants!F17*T53*0.000001)</f>
        <v>352.92535229744959</v>
      </c>
      <c r="W53" s="42">
        <f>(Constants!Q17*(1-I53)*Constants!G17*T53*0.000001)</f>
        <v>0</v>
      </c>
      <c r="X53" s="42">
        <f>(Constants!Q17*Constants!R17*J53*Constants!F17*S53*0.000001)</f>
        <v>0</v>
      </c>
      <c r="Y53" s="42">
        <f>(Constants!Q17*Constants!R17*(1-J53)*Constants!G17*S53*0.000001)</f>
        <v>0</v>
      </c>
      <c r="Z53" s="57">
        <f t="shared" si="38"/>
        <v>352.92535229744959</v>
      </c>
      <c r="AA53" s="43">
        <f>Constants!Q17*Constants!H17*(T53+S53)/1000000</f>
        <v>0.10503730723138381</v>
      </c>
      <c r="AB53" s="43">
        <f t="shared" si="40"/>
        <v>1.0270134661477004</v>
      </c>
      <c r="AC53" s="44">
        <f>Constants!Q17/Constants!L17*('Minimum Compliance'!T53*I53)</f>
        <v>712117.33716192411</v>
      </c>
      <c r="AD53" s="44">
        <f>(Constants!Q17*Constants!R17)/Constants!L17*('Minimum Compliance'!S53*J53)</f>
        <v>0</v>
      </c>
      <c r="AE53" s="42">
        <f>Constants!Q17/Constants!M17*'Minimum Compliance'!T53*(1-I53)</f>
        <v>0</v>
      </c>
      <c r="AF53" s="42">
        <f>(Constants!Q17*Constants!R17)/Constants!M17*'Minimum Compliance'!S53*(1-J53)</f>
        <v>0</v>
      </c>
      <c r="AG53" s="9">
        <f t="shared" si="39"/>
        <v>712.11733716192407</v>
      </c>
      <c r="AH53" s="28">
        <f>(AG53*Constants!I17*Constants!K17+'Minimum Compliance'!AG53*(1-Constants!I17)*Constants!J17)*0.000453592</f>
        <v>182.54669205185689</v>
      </c>
      <c r="AI53" s="33">
        <f t="shared" si="36"/>
        <v>170.3786602455927</v>
      </c>
      <c r="AJ53" s="48">
        <f t="shared" si="41"/>
        <v>1519.3685953686459</v>
      </c>
    </row>
    <row r="54" spans="1:36" ht="15.75" thickBot="1" x14ac:dyDescent="0.3">
      <c r="A54" s="7">
        <v>2035</v>
      </c>
      <c r="B54" s="89">
        <v>0</v>
      </c>
      <c r="C54" s="85">
        <v>0</v>
      </c>
      <c r="D54" s="85">
        <v>350</v>
      </c>
      <c r="E54" s="85">
        <v>80</v>
      </c>
      <c r="F54" s="85">
        <v>350</v>
      </c>
      <c r="G54" s="85">
        <v>74</v>
      </c>
      <c r="H54" s="91">
        <v>0.03</v>
      </c>
      <c r="I54" s="91">
        <v>1</v>
      </c>
      <c r="J54" s="86">
        <v>1</v>
      </c>
      <c r="K54" s="18"/>
      <c r="L54" s="7">
        <v>2035</v>
      </c>
      <c r="M54" s="35">
        <f>Constants!P18*Constants!B18-B54</f>
        <v>735.95019563658718</v>
      </c>
      <c r="N54" s="16">
        <f t="shared" si="30"/>
        <v>4</v>
      </c>
      <c r="O54" s="16">
        <f t="shared" si="31"/>
        <v>1.1000000000000001</v>
      </c>
      <c r="P54" s="16">
        <f t="shared" si="32"/>
        <v>1.1060000000000001</v>
      </c>
      <c r="Q54" s="27">
        <f t="shared" si="37"/>
        <v>4</v>
      </c>
      <c r="R54" s="16">
        <f t="shared" si="33"/>
        <v>1.1060000000000001</v>
      </c>
      <c r="S54" s="16">
        <f t="shared" si="34"/>
        <v>0</v>
      </c>
      <c r="T54" s="16">
        <f t="shared" si="35"/>
        <v>183.9875489091468</v>
      </c>
      <c r="U54" s="115">
        <f>(S54+T54)/Constants!P18</f>
        <v>5.5E-2</v>
      </c>
      <c r="V54" s="116">
        <f>(Constants!Q18*I54*Constants!F18*T54*0.000001)</f>
        <v>355.46394449247163</v>
      </c>
      <c r="W54" s="116">
        <f>(Constants!Q18*(1-I54)*Constants!G18*T54*0.000001)</f>
        <v>0</v>
      </c>
      <c r="X54" s="116">
        <f>(Constants!Q18*Constants!R18*J54*Constants!F18*S54*0.000001)</f>
        <v>0</v>
      </c>
      <c r="Y54" s="116">
        <f>(Constants!Q18*Constants!R18*(1-J54)*Constants!G18*S54*0.000001)</f>
        <v>0</v>
      </c>
      <c r="Z54" s="117">
        <f t="shared" si="38"/>
        <v>355.46394449247163</v>
      </c>
      <c r="AA54" s="49">
        <f>Constants!Q18*Constants!H18*(T54+S54)/1000000</f>
        <v>0.10579284062275941</v>
      </c>
      <c r="AB54" s="49">
        <f t="shared" si="40"/>
        <v>1.1328063067704599</v>
      </c>
      <c r="AC54" s="118">
        <f>Constants!Q18/Constants!L18*('Minimum Compliance'!T54*I54)</f>
        <v>717239.59744243661</v>
      </c>
      <c r="AD54" s="118">
        <f>(Constants!Q18*Constants!R18)/Constants!L18*('Minimum Compliance'!S54*J54)</f>
        <v>0</v>
      </c>
      <c r="AE54" s="116">
        <f>Constants!Q18/Constants!M18*'Minimum Compliance'!T54*(1-I54)</f>
        <v>0</v>
      </c>
      <c r="AF54" s="116">
        <f>(Constants!Q18*Constants!R18)/Constants!M18*'Minimum Compliance'!S54*(1-J54)</f>
        <v>0</v>
      </c>
      <c r="AG54" s="27">
        <f t="shared" si="39"/>
        <v>717.23959744243666</v>
      </c>
      <c r="AH54" s="47">
        <f>(AG54*Constants!I18*Constants!K18+'Minimum Compliance'!AG54*(1-Constants!I18)*Constants!J18)*0.000453592</f>
        <v>183.68155713902868</v>
      </c>
      <c r="AI54" s="36">
        <f t="shared" si="36"/>
        <v>171.78238735344294</v>
      </c>
      <c r="AJ54" s="51">
        <f t="shared" si="41"/>
        <v>1691.1509827220889</v>
      </c>
    </row>
  </sheetData>
  <sheetProtection algorithmName="SHA-512" hashValue="UNwo4oQS8LenLAox0JczGNJwiqjOM3DzgmwenstB+6/yZjOyhKc7V++hmBJJ/a6BUnLFtz5my6VQt5IQEAFypg==" saltValue="Ba9CW4dCJ1mPf2Gz6niizw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EB8CA-5AF1-45C0-AF67-0CA2A60FADBB}">
  <dimension ref="A1:BA54"/>
  <sheetViews>
    <sheetView topLeftCell="A2" zoomScale="40" zoomScaleNormal="40" workbookViewId="0">
      <selection activeCell="A2" sqref="A2"/>
    </sheetView>
  </sheetViews>
  <sheetFormatPr defaultRowHeight="15" x14ac:dyDescent="0.25"/>
  <cols>
    <col min="1" max="4" width="11.7109375" style="7" customWidth="1"/>
    <col min="5" max="5" width="13.140625" style="7" bestFit="1" customWidth="1"/>
    <col min="6" max="13" width="11.7109375" style="7" customWidth="1"/>
    <col min="14" max="14" width="14" style="7" customWidth="1"/>
    <col min="15" max="15" width="18.140625" style="7" customWidth="1"/>
    <col min="16" max="16" width="14.140625" style="7" customWidth="1"/>
    <col min="17" max="17" width="16" style="7" customWidth="1"/>
    <col min="18" max="18" width="13.5703125" style="7" customWidth="1"/>
    <col min="19" max="19" width="11.7109375" style="7" customWidth="1"/>
    <col min="20" max="20" width="16.28515625" style="7" customWidth="1"/>
    <col min="21" max="21" width="14.28515625" style="7" customWidth="1"/>
    <col min="22" max="22" width="19" style="7" customWidth="1"/>
    <col min="23" max="23" width="10.42578125" style="7" customWidth="1"/>
    <col min="24" max="24" width="13" style="9" customWidth="1"/>
    <col min="25" max="25" width="17.85546875" style="9" bestFit="1" customWidth="1"/>
    <col min="26" max="26" width="17.5703125" style="9" customWidth="1"/>
    <col min="27" max="27" width="14.85546875" style="9" customWidth="1"/>
    <col min="28" max="28" width="13" style="9" customWidth="1"/>
    <col min="29" max="29" width="14" style="9" bestFit="1" customWidth="1"/>
    <col min="30" max="30" width="19" style="9" customWidth="1"/>
    <col min="31" max="31" width="18.28515625" style="9" customWidth="1"/>
    <col min="32" max="32" width="16.42578125" style="9" bestFit="1" customWidth="1"/>
    <col min="33" max="33" width="14.5703125" style="9" customWidth="1"/>
    <col min="34" max="34" width="20" style="9" customWidth="1"/>
    <col min="35" max="35" width="12" style="9" bestFit="1" customWidth="1"/>
    <col min="36" max="37" width="12" style="9" customWidth="1"/>
    <col min="38" max="38" width="14.85546875" style="9" bestFit="1" customWidth="1"/>
    <col min="39" max="39" width="15.85546875" style="9" customWidth="1"/>
    <col min="40" max="40" width="13.85546875" style="9" customWidth="1"/>
    <col min="41" max="41" width="16.28515625" style="9" customWidth="1"/>
    <col min="42" max="42" width="12.7109375" style="9" bestFit="1" customWidth="1"/>
    <col min="43" max="43" width="12" style="9" customWidth="1"/>
    <col min="44" max="48" width="16" style="7" customWidth="1"/>
    <col min="49" max="49" width="9.140625" style="7"/>
    <col min="50" max="50" width="14.42578125" style="7" customWidth="1"/>
    <col min="51" max="51" width="13.7109375" style="7" customWidth="1"/>
    <col min="52" max="52" width="17.28515625" style="7" customWidth="1"/>
    <col min="53" max="53" width="14.5703125" style="7" customWidth="1"/>
    <col min="54" max="54" width="13.140625" style="7" customWidth="1"/>
    <col min="55" max="16384" width="9.140625" style="7"/>
  </cols>
  <sheetData>
    <row r="1" spans="1:53" ht="49.5" customHeight="1" x14ac:dyDescent="0.4">
      <c r="A1" s="9"/>
      <c r="B1" s="38" t="s">
        <v>153</v>
      </c>
      <c r="C1" s="9"/>
      <c r="D1" s="9"/>
      <c r="E1" s="9"/>
      <c r="F1" s="9"/>
      <c r="G1" s="9"/>
      <c r="H1" s="9"/>
      <c r="I1" s="9"/>
      <c r="J1" s="9"/>
      <c r="K1" s="9"/>
      <c r="L1" s="9"/>
      <c r="R1" s="37" t="s">
        <v>67</v>
      </c>
    </row>
    <row r="2" spans="1:53" ht="49.5" customHeight="1" thickBot="1" x14ac:dyDescent="0.3">
      <c r="A2" s="9"/>
      <c r="B2" s="28" t="s">
        <v>155</v>
      </c>
      <c r="C2" s="9"/>
      <c r="D2" s="9"/>
      <c r="E2" s="9"/>
      <c r="F2" s="9"/>
      <c r="G2" s="9"/>
      <c r="H2" s="9"/>
      <c r="I2" s="9"/>
      <c r="J2" s="9"/>
      <c r="K2" s="9"/>
      <c r="L2" s="9"/>
      <c r="S2" s="22"/>
      <c r="X2" s="22"/>
      <c r="AD2" s="28"/>
    </row>
    <row r="3" spans="1:53" ht="105" x14ac:dyDescent="0.25">
      <c r="A3" s="2"/>
      <c r="B3" s="29" t="s">
        <v>157</v>
      </c>
      <c r="C3" s="30" t="s">
        <v>158</v>
      </c>
      <c r="D3" s="30" t="s">
        <v>159</v>
      </c>
      <c r="E3" s="30" t="s">
        <v>160</v>
      </c>
      <c r="F3" s="30" t="s">
        <v>161</v>
      </c>
      <c r="G3" s="30" t="s">
        <v>162</v>
      </c>
      <c r="H3" s="30" t="s">
        <v>163</v>
      </c>
      <c r="I3" s="30" t="s">
        <v>164</v>
      </c>
      <c r="J3" s="30" t="s">
        <v>165</v>
      </c>
      <c r="K3" s="30" t="s">
        <v>210</v>
      </c>
      <c r="L3" s="31" t="s">
        <v>211</v>
      </c>
      <c r="M3" s="2"/>
      <c r="N3" s="5"/>
      <c r="O3" s="45" t="s">
        <v>166</v>
      </c>
      <c r="P3" s="46" t="s">
        <v>167</v>
      </c>
      <c r="Q3" s="46" t="s">
        <v>168</v>
      </c>
      <c r="R3" s="46" t="s">
        <v>169</v>
      </c>
      <c r="S3" s="46" t="s">
        <v>170</v>
      </c>
      <c r="T3" s="46" t="s">
        <v>171</v>
      </c>
      <c r="U3" s="23" t="s">
        <v>212</v>
      </c>
      <c r="V3" s="23" t="s">
        <v>213</v>
      </c>
      <c r="W3" s="23" t="s">
        <v>214</v>
      </c>
      <c r="X3" s="23" t="s">
        <v>215</v>
      </c>
      <c r="Y3" s="23" t="s">
        <v>216</v>
      </c>
      <c r="Z3" s="23" t="s">
        <v>217</v>
      </c>
      <c r="AA3" s="23" t="s">
        <v>175</v>
      </c>
      <c r="AB3" s="23" t="s">
        <v>176</v>
      </c>
      <c r="AC3" s="23" t="s">
        <v>177</v>
      </c>
      <c r="AD3" s="23" t="s">
        <v>178</v>
      </c>
      <c r="AE3" s="23" t="s">
        <v>179</v>
      </c>
      <c r="AF3" s="23" t="s">
        <v>180</v>
      </c>
      <c r="AG3" s="23" t="s">
        <v>235</v>
      </c>
      <c r="AH3" s="23" t="s">
        <v>181</v>
      </c>
      <c r="AI3" s="23" t="s">
        <v>236</v>
      </c>
      <c r="AJ3" s="23" t="s">
        <v>182</v>
      </c>
      <c r="AK3" s="23" t="s">
        <v>237</v>
      </c>
      <c r="AL3" s="23" t="s">
        <v>183</v>
      </c>
      <c r="AM3" s="23" t="s">
        <v>184</v>
      </c>
      <c r="AN3" s="23" t="s">
        <v>185</v>
      </c>
      <c r="AO3" s="24" t="s">
        <v>186</v>
      </c>
      <c r="AP3" s="2"/>
      <c r="AQ3" s="7"/>
      <c r="AR3" s="72" t="s">
        <v>218</v>
      </c>
      <c r="AS3" s="23" t="s">
        <v>219</v>
      </c>
      <c r="AT3" s="23" t="s">
        <v>220</v>
      </c>
      <c r="AU3" s="23" t="s">
        <v>221</v>
      </c>
      <c r="AV3" s="23" t="s">
        <v>179</v>
      </c>
      <c r="AW3" s="23" t="s">
        <v>184</v>
      </c>
      <c r="AX3" s="23" t="s">
        <v>185</v>
      </c>
      <c r="AY3" s="23" t="s">
        <v>186</v>
      </c>
      <c r="AZ3" s="23" t="s">
        <v>180</v>
      </c>
      <c r="BA3" s="24" t="s">
        <v>235</v>
      </c>
    </row>
    <row r="4" spans="1:53" s="1" customFormat="1" ht="30" x14ac:dyDescent="0.25">
      <c r="A4" s="3"/>
      <c r="B4" s="13" t="s">
        <v>45</v>
      </c>
      <c r="C4" s="3" t="s">
        <v>47</v>
      </c>
      <c r="D4" s="3" t="s">
        <v>188</v>
      </c>
      <c r="E4" s="3" t="s">
        <v>51</v>
      </c>
      <c r="F4" s="3" t="s">
        <v>53</v>
      </c>
      <c r="G4" s="3" t="s">
        <v>55</v>
      </c>
      <c r="H4" s="3" t="s">
        <v>57</v>
      </c>
      <c r="I4" s="3" t="s">
        <v>59</v>
      </c>
      <c r="J4" s="3" t="s">
        <v>61</v>
      </c>
      <c r="K4" s="12" t="s">
        <v>63</v>
      </c>
      <c r="L4" s="32" t="s">
        <v>65</v>
      </c>
      <c r="M4" s="2"/>
      <c r="N4" s="5"/>
      <c r="O4" s="19" t="s">
        <v>189</v>
      </c>
      <c r="P4" s="12" t="s">
        <v>69</v>
      </c>
      <c r="Q4" s="12" t="s">
        <v>71</v>
      </c>
      <c r="R4" s="12" t="s">
        <v>73</v>
      </c>
      <c r="S4" s="12" t="s">
        <v>190</v>
      </c>
      <c r="T4" s="12" t="s">
        <v>191</v>
      </c>
      <c r="U4" s="12" t="s">
        <v>114</v>
      </c>
      <c r="V4" s="3" t="s">
        <v>116</v>
      </c>
      <c r="W4" s="12" t="s">
        <v>117</v>
      </c>
      <c r="X4" s="12" t="s">
        <v>119</v>
      </c>
      <c r="Y4" s="12" t="s">
        <v>120</v>
      </c>
      <c r="Z4" s="12" t="s">
        <v>121</v>
      </c>
      <c r="AA4" s="12" t="s">
        <v>85</v>
      </c>
      <c r="AB4" s="12" t="s">
        <v>87</v>
      </c>
      <c r="AC4" s="12" t="s">
        <v>89</v>
      </c>
      <c r="AD4" s="12" t="s">
        <v>91</v>
      </c>
      <c r="AE4" s="12" t="s">
        <v>93</v>
      </c>
      <c r="AF4" s="12" t="s">
        <v>192</v>
      </c>
      <c r="AG4" s="12" t="s">
        <v>96</v>
      </c>
      <c r="AH4" s="12" t="s">
        <v>98</v>
      </c>
      <c r="AI4" s="12" t="s">
        <v>100</v>
      </c>
      <c r="AJ4" s="12" t="s">
        <v>102</v>
      </c>
      <c r="AK4" s="12" t="s">
        <v>104</v>
      </c>
      <c r="AL4" s="12" t="s">
        <v>106</v>
      </c>
      <c r="AM4" s="12" t="s">
        <v>108</v>
      </c>
      <c r="AN4" s="12" t="s">
        <v>110</v>
      </c>
      <c r="AO4" s="32" t="s">
        <v>112</v>
      </c>
      <c r="AP4" s="2"/>
      <c r="AQ4" s="7"/>
      <c r="AR4" s="19" t="s">
        <v>83</v>
      </c>
      <c r="AS4" s="12" t="s">
        <v>222</v>
      </c>
      <c r="AT4" s="12"/>
      <c r="AU4" s="12" t="s">
        <v>120</v>
      </c>
      <c r="AV4" s="12" t="s">
        <v>93</v>
      </c>
      <c r="AW4" s="12" t="s">
        <v>108</v>
      </c>
      <c r="AX4" s="12" t="s">
        <v>110</v>
      </c>
      <c r="AY4" s="12" t="s">
        <v>112</v>
      </c>
      <c r="AZ4" s="12" t="s">
        <v>192</v>
      </c>
      <c r="BA4" s="32" t="s">
        <v>96</v>
      </c>
    </row>
    <row r="5" spans="1:53" s="8" customFormat="1" ht="24" x14ac:dyDescent="0.2">
      <c r="A5" s="17"/>
      <c r="B5" s="20" t="s">
        <v>193</v>
      </c>
      <c r="C5" s="17" t="s">
        <v>148</v>
      </c>
      <c r="D5" s="17" t="s">
        <v>194</v>
      </c>
      <c r="E5" s="17" t="s">
        <v>195</v>
      </c>
      <c r="F5" s="17" t="s">
        <v>196</v>
      </c>
      <c r="G5" s="17" t="s">
        <v>197</v>
      </c>
      <c r="H5" s="17" t="s">
        <v>148</v>
      </c>
      <c r="I5" s="17" t="s">
        <v>148</v>
      </c>
      <c r="J5" s="17" t="s">
        <v>148</v>
      </c>
      <c r="K5" s="17" t="s">
        <v>223</v>
      </c>
      <c r="L5" s="21" t="s">
        <v>223</v>
      </c>
      <c r="M5" s="17"/>
      <c r="N5" s="6"/>
      <c r="O5" s="20" t="s">
        <v>193</v>
      </c>
      <c r="P5" s="10" t="s">
        <v>198</v>
      </c>
      <c r="Q5" s="10" t="s">
        <v>198</v>
      </c>
      <c r="R5" s="10" t="s">
        <v>198</v>
      </c>
      <c r="S5" s="10" t="s">
        <v>193</v>
      </c>
      <c r="T5" s="10" t="s">
        <v>193</v>
      </c>
      <c r="U5" s="10" t="s">
        <v>193</v>
      </c>
      <c r="V5" s="10" t="s">
        <v>193</v>
      </c>
      <c r="W5" s="10" t="s">
        <v>193</v>
      </c>
      <c r="X5" s="10" t="s">
        <v>193</v>
      </c>
      <c r="Y5" s="10" t="s">
        <v>193</v>
      </c>
      <c r="Z5" s="10" t="s">
        <v>193</v>
      </c>
      <c r="AA5" s="10" t="s">
        <v>201</v>
      </c>
      <c r="AB5" s="10" t="s">
        <v>201</v>
      </c>
      <c r="AC5" s="10" t="s">
        <v>201</v>
      </c>
      <c r="AD5" s="10" t="s">
        <v>201</v>
      </c>
      <c r="AE5" s="10" t="s">
        <v>201</v>
      </c>
      <c r="AF5" s="10" t="s">
        <v>202</v>
      </c>
      <c r="AG5" s="10" t="s">
        <v>202</v>
      </c>
      <c r="AH5" s="10" t="s">
        <v>203</v>
      </c>
      <c r="AI5" s="10" t="s">
        <v>203</v>
      </c>
      <c r="AJ5" s="10" t="s">
        <v>203</v>
      </c>
      <c r="AK5" s="10" t="s">
        <v>203</v>
      </c>
      <c r="AL5" s="10" t="s">
        <v>204</v>
      </c>
      <c r="AM5" s="10" t="s">
        <v>205</v>
      </c>
      <c r="AN5" s="10" t="s">
        <v>205</v>
      </c>
      <c r="AO5" s="25" t="s">
        <v>206</v>
      </c>
      <c r="AP5" s="10"/>
      <c r="AR5" s="52" t="s">
        <v>201</v>
      </c>
      <c r="AS5" s="10"/>
      <c r="AT5" s="10"/>
      <c r="AU5" s="10"/>
      <c r="AV5" s="10" t="s">
        <v>201</v>
      </c>
      <c r="AW5" s="10" t="s">
        <v>205</v>
      </c>
      <c r="AX5" s="10" t="s">
        <v>206</v>
      </c>
      <c r="AY5" s="10" t="s">
        <v>206</v>
      </c>
      <c r="AZ5" s="10" t="s">
        <v>202</v>
      </c>
      <c r="BA5" s="25" t="s">
        <v>207</v>
      </c>
    </row>
    <row r="6" spans="1:53" x14ac:dyDescent="0.25">
      <c r="A6" s="26">
        <v>2023</v>
      </c>
      <c r="B6" s="88">
        <v>0</v>
      </c>
      <c r="C6" s="82">
        <v>0.29411764705882359</v>
      </c>
      <c r="D6" s="82">
        <v>350</v>
      </c>
      <c r="E6" s="82">
        <v>53</v>
      </c>
      <c r="F6" s="82">
        <v>350</v>
      </c>
      <c r="G6" s="82">
        <v>41</v>
      </c>
      <c r="H6" s="90">
        <v>0.03</v>
      </c>
      <c r="I6" s="90">
        <v>1</v>
      </c>
      <c r="J6" s="90">
        <v>1</v>
      </c>
      <c r="K6" s="92">
        <v>1759.3691978162442</v>
      </c>
      <c r="L6" s="93">
        <v>0</v>
      </c>
      <c r="M6" s="18"/>
      <c r="N6" s="61">
        <v>2023</v>
      </c>
      <c r="O6" s="34">
        <f>Constants!N6*Constants!B6-B6</f>
        <v>0</v>
      </c>
      <c r="P6" s="9">
        <f t="shared" ref="P6:P18" si="0">(D6*0.01+0.5)*I6+(F6*0.01+0.5)*(1-I6)</f>
        <v>4</v>
      </c>
      <c r="Q6" s="9">
        <f t="shared" ref="Q6:Q18" si="1">(E6*0.01+0.3)*J6+(G6*0.01+0.3)*(1-J6)</f>
        <v>0.83000000000000007</v>
      </c>
      <c r="R6" s="9">
        <f t="shared" ref="R6:R18" si="2">Q6+0.2*H6</f>
        <v>0.83600000000000008</v>
      </c>
      <c r="S6" s="9">
        <f>IF(P6&gt;4,4,P6)</f>
        <v>4</v>
      </c>
      <c r="T6" s="9">
        <f t="shared" ref="T6:T18" si="3">IF(H6=0,IF(R6&gt;1.1,1.1,R6),IF(R6&gt;1.3,1.3,R6))</f>
        <v>0.83600000000000008</v>
      </c>
      <c r="U6" s="41">
        <f>S6*K6</f>
        <v>7037.4767912649768</v>
      </c>
      <c r="V6" s="41">
        <f t="shared" ref="V6:V18" si="4">T6*L6</f>
        <v>0</v>
      </c>
      <c r="W6" s="63">
        <f>IF(O6&gt;0,IF('Anticipated Compliance'!V6/'Anticipated Compliance'!O6&gt;C6,'Anticipated Compliance'!O6*C6,'Anticipated Compliance'!V6),0)</f>
        <v>0</v>
      </c>
      <c r="X6" s="41">
        <f>V6-W6</f>
        <v>0</v>
      </c>
      <c r="Y6" s="41">
        <f t="shared" ref="Y6:Y18" si="5">U6-(O6-W6)</f>
        <v>7037.4767912649768</v>
      </c>
      <c r="Z6" s="41">
        <f>X6+Y6</f>
        <v>7037.4767912649768</v>
      </c>
      <c r="AA6" s="9">
        <f>(Constants!Q6*I6*Constants!F6*K6*0.000001)</f>
        <v>3581.1960021549648</v>
      </c>
      <c r="AB6" s="9">
        <f>(Constants!Q6*(1-I6)*Constants!G6*K6*0.000001)</f>
        <v>0</v>
      </c>
      <c r="AC6" s="9">
        <f>(Constants!Q6*Constants!R6*J6*Constants!F6*L6*0.000001)</f>
        <v>0</v>
      </c>
      <c r="AD6" s="9">
        <f>(Constants!Q6*Constants!R6*(1-J6)*Constants!G6*L6*0.000001)</f>
        <v>0</v>
      </c>
      <c r="AE6" s="28">
        <f>AA6+AB6+AC6+AD6</f>
        <v>3581.1960021549648</v>
      </c>
      <c r="AF6" s="33">
        <f>Constants!Q6*Constants!H6*(K6+L6)/1000000</f>
        <v>1.2746629838178689</v>
      </c>
      <c r="AG6" s="43">
        <f>AF6</f>
        <v>1.2746629838178689</v>
      </c>
      <c r="AH6" s="9">
        <f>Constants!Q6/Constants!L6*('Anticipated Compliance'!K6*I6)</f>
        <v>6858557.8897921378</v>
      </c>
      <c r="AI6" s="9">
        <f>(Constants!Q6*Constants!R6)/Constants!L6*('Anticipated Compliance'!L6*J6)</f>
        <v>0</v>
      </c>
      <c r="AJ6" s="9">
        <f>Constants!Q6/Constants!M6*'Anticipated Compliance'!K6*(1-I6)</f>
        <v>0</v>
      </c>
      <c r="AK6" s="9">
        <f>(Constants!Q6*Constants!R6)/Constants!M6*'Anticipated Compliance'!L6*(1-J6)</f>
        <v>0</v>
      </c>
      <c r="AL6" s="9">
        <f>(AH6+AI6+AJ6+AK6)*0.001</f>
        <v>6858.5578897921378</v>
      </c>
      <c r="AM6" s="28">
        <f>(AL6*Constants!I6*Constants!K6+'Anticipated Compliance'!AL6*(1-Constants!I6)*Constants!J6)*0.000453592</f>
        <v>2211.8043165711288</v>
      </c>
      <c r="AN6" s="33">
        <f t="shared" ref="AN6:AN18" si="6">AE6-AM6</f>
        <v>1369.3916855838361</v>
      </c>
      <c r="AO6" s="48">
        <f>AN6</f>
        <v>1369.3916855838361</v>
      </c>
      <c r="AQ6" s="7">
        <v>2023</v>
      </c>
      <c r="AR6" s="59">
        <f>(K6+L6+K24+L24+K42+L42)/(Constants!N6+Constants!O6+Constants!P6)</f>
        <v>4.1414605105357216E-2</v>
      </c>
      <c r="AS6" s="66">
        <f>O6+O24+O42</f>
        <v>0</v>
      </c>
      <c r="AT6" s="66">
        <f>AS6+AU6</f>
        <v>19471.492997704154</v>
      </c>
      <c r="AU6" s="66">
        <f>Y6+Y24+Y42</f>
        <v>19471.492997704154</v>
      </c>
      <c r="AV6" s="53">
        <f t="shared" ref="AV6:AV18" si="7">AE6+AE24+AE42</f>
        <v>9908.5559992066992</v>
      </c>
      <c r="AW6" s="53">
        <f t="shared" ref="AW6:AW18" si="8">AM6+AM24+AM42</f>
        <v>6119.6837360603631</v>
      </c>
      <c r="AX6" s="53">
        <f t="shared" ref="AX6:AX18" si="9">AN6+AN24+AN42</f>
        <v>3788.8722631463365</v>
      </c>
      <c r="AY6" s="53">
        <f t="shared" ref="AY6:AY18" si="10">AO6+AO24+AO42</f>
        <v>3788.8722631463365</v>
      </c>
      <c r="AZ6" s="53">
        <f t="shared" ref="AZ6:AZ18" si="11">AF6+AF24+AF42</f>
        <v>3.5267741692091645</v>
      </c>
      <c r="BA6" s="54">
        <f>(AG6+AG24+AG42)*1.10231</f>
        <v>3.887598434460954</v>
      </c>
    </row>
    <row r="7" spans="1:53" x14ac:dyDescent="0.25">
      <c r="A7" s="26">
        <v>2024</v>
      </c>
      <c r="B7" s="88">
        <v>0</v>
      </c>
      <c r="C7" s="82">
        <v>0.28205128205128205</v>
      </c>
      <c r="D7" s="82">
        <v>350</v>
      </c>
      <c r="E7" s="82">
        <v>57</v>
      </c>
      <c r="F7" s="82">
        <v>350</v>
      </c>
      <c r="G7" s="82">
        <v>44</v>
      </c>
      <c r="H7" s="90">
        <v>0.03</v>
      </c>
      <c r="I7" s="90">
        <v>1</v>
      </c>
      <c r="J7" s="90">
        <v>1</v>
      </c>
      <c r="K7" s="92">
        <v>3142.046964254836</v>
      </c>
      <c r="L7" s="93">
        <v>0</v>
      </c>
      <c r="M7" s="18"/>
      <c r="N7" s="61">
        <v>2024</v>
      </c>
      <c r="O7" s="34">
        <f>Constants!N7*Constants!B7-B7</f>
        <v>0</v>
      </c>
      <c r="P7" s="9">
        <f t="shared" si="0"/>
        <v>4</v>
      </c>
      <c r="Q7" s="9">
        <f t="shared" si="1"/>
        <v>0.87000000000000011</v>
      </c>
      <c r="R7" s="9">
        <f t="shared" si="2"/>
        <v>0.87600000000000011</v>
      </c>
      <c r="S7" s="9">
        <f t="shared" ref="S7:S18" si="12">IF(P7&gt;4,4,P7)</f>
        <v>4</v>
      </c>
      <c r="T7" s="9">
        <f t="shared" si="3"/>
        <v>0.87600000000000011</v>
      </c>
      <c r="U7" s="41">
        <f t="shared" ref="U7:U18" si="13">S7*K7</f>
        <v>12568.187857019344</v>
      </c>
      <c r="V7" s="41">
        <f t="shared" si="4"/>
        <v>0</v>
      </c>
      <c r="W7" s="41">
        <f>IF(O7&gt;0,IF('Anticipated Compliance'!V7/'Anticipated Compliance'!O7&gt;C7,'Anticipated Compliance'!O7*C7,'Anticipated Compliance'!V7),0)</f>
        <v>0</v>
      </c>
      <c r="X7" s="41">
        <f t="shared" ref="X7:X18" si="14">V7-W7</f>
        <v>0</v>
      </c>
      <c r="Y7" s="41">
        <f t="shared" si="5"/>
        <v>12568.187857019344</v>
      </c>
      <c r="Z7" s="41">
        <f>Z6+X7+Y7</f>
        <v>19605.664648284321</v>
      </c>
      <c r="AA7" s="9">
        <f>(Constants!Q7*I7*Constants!F7*K7*0.000001)</f>
        <v>6287.2359754739264</v>
      </c>
      <c r="AB7" s="9">
        <f>(Constants!Q7*(1-I7)*Constants!G7*K7*0.000001)</f>
        <v>0</v>
      </c>
      <c r="AC7" s="9">
        <f>(Constants!Q7*Constants!R7*J7*Constants!F7*L7*0.000001)</f>
        <v>0</v>
      </c>
      <c r="AD7" s="9">
        <f>(Constants!Q7*Constants!R7*(1-J7)*Constants!G7*L7*0.000001)</f>
        <v>0</v>
      </c>
      <c r="AE7" s="28">
        <f t="shared" ref="AE7:AE18" si="15">AA7+AB7+AC7+AD7</f>
        <v>6287.2359754739264</v>
      </c>
      <c r="AF7" s="33">
        <f>Constants!Q7*Constants!H7*(K7+L7)/1000000</f>
        <v>2.0596117850690447</v>
      </c>
      <c r="AG7" s="43">
        <f>AG6+AF7</f>
        <v>3.3342747688869139</v>
      </c>
      <c r="AH7" s="9">
        <f>Constants!Q7/Constants!L7*('Anticipated Compliance'!K7*I7)</f>
        <v>12248657.657264614</v>
      </c>
      <c r="AI7" s="9">
        <f>(Constants!Q7*Constants!R7)/Constants!L7*('Anticipated Compliance'!L7*J7)</f>
        <v>0</v>
      </c>
      <c r="AJ7" s="9">
        <f>Constants!Q7/Constants!M7*'Anticipated Compliance'!K7*(1-I7)</f>
        <v>0</v>
      </c>
      <c r="AK7" s="9">
        <f>(Constants!Q7*Constants!R7)/Constants!M7*'Anticipated Compliance'!L7*(1-J7)</f>
        <v>0</v>
      </c>
      <c r="AL7" s="9">
        <f t="shared" ref="AL7:AL18" si="16">(AH7+AI7+AJ7+AK7)*0.001</f>
        <v>12248.657657264615</v>
      </c>
      <c r="AM7" s="28">
        <f>(AL7*Constants!I7*Constants!K7+'Anticipated Compliance'!AL7*(1-Constants!I7)*Constants!J7)*0.000453592</f>
        <v>3819.8101305034988</v>
      </c>
      <c r="AN7" s="33">
        <f t="shared" si="6"/>
        <v>2467.4258449704275</v>
      </c>
      <c r="AO7" s="48">
        <f>AN7+AO6</f>
        <v>3836.8175305542636</v>
      </c>
      <c r="AQ7" s="7">
        <v>2024</v>
      </c>
      <c r="AR7" s="59">
        <f>(K7+L7+K25+L25+K43+L43)/(Constants!N7+Constants!O7+Constants!P7)</f>
        <v>5.3113250766287298E-2</v>
      </c>
      <c r="AS7" s="66">
        <f t="shared" ref="AS7:AS18" si="17">O7+O25+O43</f>
        <v>0</v>
      </c>
      <c r="AT7" s="66">
        <f t="shared" ref="AT7:AT18" si="18">AS7+AU7</f>
        <v>25167.533942493512</v>
      </c>
      <c r="AU7" s="66">
        <f t="shared" ref="AU7:AU18" si="19">Y7+Y25+Y43</f>
        <v>25167.533942493512</v>
      </c>
      <c r="AV7" s="53">
        <f t="shared" si="7"/>
        <v>12590.058854732379</v>
      </c>
      <c r="AW7" s="53">
        <f t="shared" si="8"/>
        <v>7649.0900841870989</v>
      </c>
      <c r="AX7" s="53">
        <f t="shared" si="9"/>
        <v>4940.9687705452798</v>
      </c>
      <c r="AY7" s="53">
        <f t="shared" si="10"/>
        <v>8729.8410336916168</v>
      </c>
      <c r="AZ7" s="53">
        <f t="shared" si="11"/>
        <v>4.1243296248261245</v>
      </c>
      <c r="BA7" s="54">
        <f t="shared" ref="BA7:BA18" si="20">(AG7+AG25+AG43)*1.10231</f>
        <v>8.4338882232030379</v>
      </c>
    </row>
    <row r="8" spans="1:53" x14ac:dyDescent="0.25">
      <c r="A8" s="26">
        <v>2025</v>
      </c>
      <c r="B8" s="88">
        <v>0</v>
      </c>
      <c r="C8" s="82">
        <v>0.27272727272727271</v>
      </c>
      <c r="D8" s="82">
        <v>350</v>
      </c>
      <c r="E8" s="82">
        <v>60</v>
      </c>
      <c r="F8" s="82">
        <v>350</v>
      </c>
      <c r="G8" s="82">
        <v>47</v>
      </c>
      <c r="H8" s="90">
        <v>0.03</v>
      </c>
      <c r="I8" s="90">
        <v>0.9</v>
      </c>
      <c r="J8" s="90">
        <v>0.9</v>
      </c>
      <c r="K8" s="92">
        <v>4402.0226740179769</v>
      </c>
      <c r="L8" s="93">
        <v>7218.8783254029595</v>
      </c>
      <c r="M8" s="18"/>
      <c r="N8" s="61">
        <v>2025</v>
      </c>
      <c r="O8" s="34">
        <f>Constants!N8*Constants!B8-B8</f>
        <v>23637.013930144421</v>
      </c>
      <c r="P8" s="9">
        <f t="shared" si="0"/>
        <v>4</v>
      </c>
      <c r="Q8" s="9">
        <f t="shared" si="1"/>
        <v>0.8869999999999999</v>
      </c>
      <c r="R8" s="9">
        <f t="shared" si="2"/>
        <v>0.8929999999999999</v>
      </c>
      <c r="S8" s="9">
        <f t="shared" si="12"/>
        <v>4</v>
      </c>
      <c r="T8" s="9">
        <f t="shared" si="3"/>
        <v>0.8929999999999999</v>
      </c>
      <c r="U8" s="41">
        <f t="shared" si="13"/>
        <v>17608.090696071908</v>
      </c>
      <c r="V8" s="41">
        <f t="shared" si="4"/>
        <v>6446.4583445848421</v>
      </c>
      <c r="W8" s="41">
        <f>IF(O8&gt;0,IF('Anticipated Compliance'!V8/'Anticipated Compliance'!O8&gt;C8,'Anticipated Compliance'!O8*C8,'Anticipated Compliance'!V8),0)</f>
        <v>6446.4583445848421</v>
      </c>
      <c r="X8" s="41">
        <f t="shared" si="14"/>
        <v>0</v>
      </c>
      <c r="Y8" s="41">
        <f t="shared" si="5"/>
        <v>417.53511051232636</v>
      </c>
      <c r="Z8" s="41">
        <f t="shared" ref="Z8:Z18" si="21">Z7+X8+Y8</f>
        <v>20023.199758796647</v>
      </c>
      <c r="AA8" s="9">
        <f>(Constants!Q8*I8*Constants!F8*K8*0.000001)</f>
        <v>7790.9198296107161</v>
      </c>
      <c r="AB8" s="9">
        <f>(Constants!Q8*(1-I8)*Constants!G8*K8*0.000001)</f>
        <v>1250.3945405548059</v>
      </c>
      <c r="AC8" s="9">
        <f>(Constants!Q8*Constants!R8*J8*Constants!F8*L8*0.000001)</f>
        <v>9582.2488531608196</v>
      </c>
      <c r="AD8" s="9">
        <f>(Constants!Q8*Constants!R8*(1-J8)*Constants!G8*L8*0.000001)</f>
        <v>1537.8917912480324</v>
      </c>
      <c r="AE8" s="28">
        <f t="shared" si="15"/>
        <v>20161.455014574374</v>
      </c>
      <c r="AF8" s="33">
        <f>Constants!Q8*Constants!H8*(K8+L8)/1000000</f>
        <v>6.682018074667039</v>
      </c>
      <c r="AG8" s="43">
        <f t="shared" ref="AG8:AG18" si="22">AG7+AF8</f>
        <v>10.016292843553952</v>
      </c>
      <c r="AH8" s="9">
        <f>Constants!Q8/Constants!L8*('Anticipated Compliance'!K8*I8)</f>
        <v>15444384.635961376</v>
      </c>
      <c r="AI8" s="9">
        <f>(Constants!Q8*Constants!R8)/Constants!L8*('Anticipated Compliance'!L8*J8)</f>
        <v>18995438.305403549</v>
      </c>
      <c r="AJ8" s="9">
        <f>Constants!Q8/Constants!M8*'Anticipated Compliance'!K8*(1-I8)</f>
        <v>1807973.5982573833</v>
      </c>
      <c r="AK8" s="9">
        <f>(Constants!Q8*Constants!R8)/Constants!M8*'Anticipated Compliance'!L8*(1-J8)</f>
        <v>2223672.3413071614</v>
      </c>
      <c r="AL8" s="9">
        <f t="shared" si="16"/>
        <v>38471.468880929475</v>
      </c>
      <c r="AM8" s="28">
        <f>(AL8*Constants!I8*Constants!K8+'Anticipated Compliance'!AL8*(1-Constants!I8)*Constants!J8)*0.000453592</f>
        <v>11749.330839365031</v>
      </c>
      <c r="AN8" s="33">
        <f t="shared" si="6"/>
        <v>8412.1241752093429</v>
      </c>
      <c r="AO8" s="48">
        <f t="shared" ref="AO8:AO18" si="23">AN8+AO7</f>
        <v>12248.941705763606</v>
      </c>
      <c r="AQ8" s="7">
        <v>2025</v>
      </c>
      <c r="AR8" s="59">
        <f>(K8+L8+K26+L26+K44+L44)/(Constants!N8+Constants!O8+Constants!P8)</f>
        <v>0.14147019348104292</v>
      </c>
      <c r="AS8" s="66">
        <f t="shared" si="17"/>
        <v>26595.294858137866</v>
      </c>
      <c r="AT8" s="66">
        <f t="shared" si="18"/>
        <v>39021.73286697657</v>
      </c>
      <c r="AU8" s="66">
        <f t="shared" si="19"/>
        <v>12426.438008838708</v>
      </c>
      <c r="AV8" s="53">
        <f t="shared" si="7"/>
        <v>29834.570398848449</v>
      </c>
      <c r="AW8" s="53">
        <f t="shared" si="8"/>
        <v>17605.621267126913</v>
      </c>
      <c r="AX8" s="53">
        <f t="shared" si="9"/>
        <v>12228.949131721536</v>
      </c>
      <c r="AY8" s="53">
        <f t="shared" si="10"/>
        <v>20958.790165413153</v>
      </c>
      <c r="AZ8" s="53">
        <f t="shared" si="11"/>
        <v>9.833653944672891</v>
      </c>
      <c r="BA8" s="54">
        <f t="shared" si="20"/>
        <v>19.273623302955411</v>
      </c>
    </row>
    <row r="9" spans="1:53" x14ac:dyDescent="0.25">
      <c r="A9" s="26">
        <v>2026</v>
      </c>
      <c r="B9" s="88">
        <v>0</v>
      </c>
      <c r="C9" s="82">
        <v>0.27272727272727271</v>
      </c>
      <c r="D9" s="82">
        <v>350</v>
      </c>
      <c r="E9" s="82">
        <v>64</v>
      </c>
      <c r="F9" s="82">
        <v>350</v>
      </c>
      <c r="G9" s="82">
        <v>50</v>
      </c>
      <c r="H9" s="90">
        <v>0.03</v>
      </c>
      <c r="I9" s="90">
        <v>0.9</v>
      </c>
      <c r="J9" s="90">
        <v>0.9</v>
      </c>
      <c r="K9" s="92">
        <v>4532.9414624163073</v>
      </c>
      <c r="L9" s="93">
        <v>7077.1166102089683</v>
      </c>
      <c r="M9" s="18"/>
      <c r="N9" s="61">
        <v>2026</v>
      </c>
      <c r="O9" s="34">
        <f>Constants!N9*Constants!B9-B9</f>
        <v>24184.866495954113</v>
      </c>
      <c r="P9" s="9">
        <f t="shared" si="0"/>
        <v>4</v>
      </c>
      <c r="Q9" s="9">
        <f t="shared" si="1"/>
        <v>0.92599999999999993</v>
      </c>
      <c r="R9" s="9">
        <f t="shared" si="2"/>
        <v>0.93199999999999994</v>
      </c>
      <c r="S9" s="9">
        <f t="shared" si="12"/>
        <v>4</v>
      </c>
      <c r="T9" s="9">
        <f t="shared" si="3"/>
        <v>0.93199999999999994</v>
      </c>
      <c r="U9" s="41">
        <f t="shared" si="13"/>
        <v>18131.765849665229</v>
      </c>
      <c r="V9" s="41">
        <f t="shared" si="4"/>
        <v>6595.8726807147577</v>
      </c>
      <c r="W9" s="41">
        <f>IF(O9&gt;0,IF('Anticipated Compliance'!V9/'Anticipated Compliance'!O9&gt;C9,'Anticipated Compliance'!O9*C9,'Anticipated Compliance'!V9),0)</f>
        <v>6595.8726807147577</v>
      </c>
      <c r="X9" s="41">
        <f t="shared" si="14"/>
        <v>0</v>
      </c>
      <c r="Y9" s="41">
        <f t="shared" si="5"/>
        <v>542.77203442587415</v>
      </c>
      <c r="Z9" s="41">
        <f t="shared" si="21"/>
        <v>20565.971793222521</v>
      </c>
      <c r="AA9" s="9">
        <f>(Constants!Q9*I9*Constants!F9*K9*0.000001)</f>
        <v>7881.8786148494746</v>
      </c>
      <c r="AB9" s="9">
        <f>(Constants!Q9*(1-I9)*Constants!G9*K9*0.000001)</f>
        <v>1266.7304916722369</v>
      </c>
      <c r="AC9" s="9">
        <f>(Constants!Q9*Constants!R9*J9*Constants!F9*L9*0.000001)</f>
        <v>9229.2677713735156</v>
      </c>
      <c r="AD9" s="9">
        <f>(Constants!Q9*Constants!R9*(1-J9)*Constants!G9*L9*0.000001)</f>
        <v>1483.2751775421716</v>
      </c>
      <c r="AE9" s="28">
        <f t="shared" si="15"/>
        <v>19861.1520554374</v>
      </c>
      <c r="AF9" s="33">
        <f>Constants!Q9*Constants!H9*(K9+L9)/1000000</f>
        <v>6.6757833917595333</v>
      </c>
      <c r="AG9" s="43">
        <f t="shared" si="22"/>
        <v>16.692076235313486</v>
      </c>
      <c r="AH9" s="9">
        <f>Constants!Q9/Constants!L9*('Anticipated Compliance'!K9*I9)</f>
        <v>15903709.876613146</v>
      </c>
      <c r="AI9" s="9">
        <f>(Constants!Q9*Constants!R9)/Constants!L9*('Anticipated Compliance'!L9*J9)</f>
        <v>18622412.775168512</v>
      </c>
      <c r="AJ9" s="9">
        <f>Constants!Q9/Constants!M9*'Anticipated Compliance'!K9*(1-I9)</f>
        <v>1861743.8149209835</v>
      </c>
      <c r="AK9" s="9">
        <f>(Constants!Q9*Constants!R9)/Constants!M9*'Anticipated Compliance'!L9*(1-J9)</f>
        <v>2180004.6701090122</v>
      </c>
      <c r="AL9" s="9">
        <f t="shared" si="16"/>
        <v>38567.871136811649</v>
      </c>
      <c r="AM9" s="28">
        <f>(AL9*Constants!I9*Constants!K9+'Anticipated Compliance'!AL9*(1-Constants!I9)*Constants!J9)*0.000453592</f>
        <v>11736.05935679719</v>
      </c>
      <c r="AN9" s="33">
        <f t="shared" si="6"/>
        <v>8125.0926986402101</v>
      </c>
      <c r="AO9" s="48">
        <f t="shared" si="23"/>
        <v>20374.034404403814</v>
      </c>
      <c r="AQ9" s="7">
        <v>2026</v>
      </c>
      <c r="AR9" s="59">
        <f>(K9+L9+K27+L27+K45+L45)/(Constants!N9+Constants!O9+Constants!P9)</f>
        <v>0.13943731301117401</v>
      </c>
      <c r="AS9" s="66">
        <f t="shared" si="17"/>
        <v>27211.713690463996</v>
      </c>
      <c r="AT9" s="66">
        <f t="shared" si="18"/>
        <v>40545.831375565649</v>
      </c>
      <c r="AU9" s="66">
        <f t="shared" si="19"/>
        <v>13334.117685101653</v>
      </c>
      <c r="AV9" s="53">
        <f t="shared" si="7"/>
        <v>29687.350317882338</v>
      </c>
      <c r="AW9" s="53">
        <f t="shared" si="8"/>
        <v>17769.302873105764</v>
      </c>
      <c r="AX9" s="53">
        <f t="shared" si="9"/>
        <v>11918.047444776574</v>
      </c>
      <c r="AY9" s="53">
        <f t="shared" si="10"/>
        <v>32876.837610189723</v>
      </c>
      <c r="AZ9" s="53">
        <f t="shared" si="11"/>
        <v>9.9169942621405216</v>
      </c>
      <c r="BA9" s="54">
        <f t="shared" si="20"/>
        <v>30.20522524805553</v>
      </c>
    </row>
    <row r="10" spans="1:53" x14ac:dyDescent="0.25">
      <c r="A10" s="26">
        <v>2027</v>
      </c>
      <c r="B10" s="88">
        <v>0</v>
      </c>
      <c r="C10" s="82">
        <v>0.27272727272727271</v>
      </c>
      <c r="D10" s="82">
        <v>350</v>
      </c>
      <c r="E10" s="82">
        <v>68</v>
      </c>
      <c r="F10" s="82">
        <v>350</v>
      </c>
      <c r="G10" s="82">
        <v>52</v>
      </c>
      <c r="H10" s="90">
        <v>0.03</v>
      </c>
      <c r="I10" s="90">
        <v>0.8</v>
      </c>
      <c r="J10" s="90">
        <v>0.8</v>
      </c>
      <c r="K10" s="92">
        <v>4568.393614104144</v>
      </c>
      <c r="L10" s="93">
        <v>6923.8584879013988</v>
      </c>
      <c r="M10" s="18"/>
      <c r="N10" s="61">
        <v>2027</v>
      </c>
      <c r="O10" s="34">
        <f>Constants!N10*Constants!B10-B10</f>
        <v>24219.656990679094</v>
      </c>
      <c r="P10" s="9">
        <f t="shared" si="0"/>
        <v>4</v>
      </c>
      <c r="Q10" s="9">
        <f t="shared" si="1"/>
        <v>0.94799999999999995</v>
      </c>
      <c r="R10" s="9">
        <f t="shared" si="2"/>
        <v>0.95399999999999996</v>
      </c>
      <c r="S10" s="9">
        <f t="shared" si="12"/>
        <v>4</v>
      </c>
      <c r="T10" s="9">
        <f t="shared" si="3"/>
        <v>0.95399999999999996</v>
      </c>
      <c r="U10" s="41">
        <f t="shared" si="13"/>
        <v>18273.574456416576</v>
      </c>
      <c r="V10" s="41">
        <f t="shared" si="4"/>
        <v>6605.360997457934</v>
      </c>
      <c r="W10" s="41">
        <f>IF(O10&gt;0,IF('Anticipated Compliance'!V10/'Anticipated Compliance'!O10&gt;C10,'Anticipated Compliance'!O10*C10,'Anticipated Compliance'!V10),0)</f>
        <v>6605.360997457934</v>
      </c>
      <c r="X10" s="41">
        <f t="shared" si="14"/>
        <v>0</v>
      </c>
      <c r="Y10" s="41">
        <f t="shared" si="5"/>
        <v>659.27846319541641</v>
      </c>
      <c r="Z10" s="41">
        <f t="shared" si="21"/>
        <v>21225.250256417938</v>
      </c>
      <c r="AA10" s="9">
        <f>(Constants!Q10*I10*Constants!F10*K10*0.000001)</f>
        <v>7060.9091699593646</v>
      </c>
      <c r="AB10" s="9">
        <f>(Constants!Q10*(1-I10)*Constants!G10*K10*0.000001)</f>
        <v>2553.2751909228055</v>
      </c>
      <c r="AC10" s="9">
        <f>(Constants!Q10*Constants!R10*J10*Constants!F10*L10*0.000001)</f>
        <v>8026.1367591753014</v>
      </c>
      <c r="AD10" s="9">
        <f>(Constants!Q10*Constants!R10*(1-J10)*Constants!G10*L10*0.000001)</f>
        <v>2902.3083816660678</v>
      </c>
      <c r="AE10" s="28">
        <f t="shared" si="15"/>
        <v>20542.629501723539</v>
      </c>
      <c r="AF10" s="33">
        <f>Constants!Q10*Constants!H10*(K10+L10)/1000000</f>
        <v>6.6080449586531875</v>
      </c>
      <c r="AG10" s="43">
        <f t="shared" si="22"/>
        <v>23.300121193966675</v>
      </c>
      <c r="AH10" s="9">
        <f>Constants!Q10/Constants!L10*('Anticipated Compliance'!K10*I10)</f>
        <v>14247193.643985806</v>
      </c>
      <c r="AI10" s="9">
        <f>(Constants!Q10*Constants!R10)/Constants!L10*('Anticipated Compliance'!L10*J10)</f>
        <v>16194787.649667677</v>
      </c>
      <c r="AJ10" s="9">
        <f>Constants!Q10/Constants!M10*'Anticipated Compliance'!K10*(1-I10)</f>
        <v>3752609.0401569754</v>
      </c>
      <c r="AK10" s="9">
        <f>(Constants!Q10*Constants!R10)/Constants!M10*'Anticipated Compliance'!L10*(1-J10)</f>
        <v>4265591.3898678254</v>
      </c>
      <c r="AL10" s="9">
        <f t="shared" si="16"/>
        <v>38460.181723678281</v>
      </c>
      <c r="AM10" s="28">
        <f>(AL10*Constants!I10*Constants!K10+'Anticipated Compliance'!AL10*(1-Constants!I10)*Constants!J10)*0.000453592</f>
        <v>11347.335170698268</v>
      </c>
      <c r="AN10" s="33">
        <f t="shared" si="6"/>
        <v>9195.2943310252704</v>
      </c>
      <c r="AO10" s="48">
        <f t="shared" si="23"/>
        <v>29569.328735429084</v>
      </c>
      <c r="AQ10" s="7">
        <v>2027</v>
      </c>
      <c r="AR10" s="59">
        <f>(K10+L10+K28+L28+K46+L46)/(Constants!N10+Constants!O10+Constants!P10)</f>
        <v>0.13762858218451066</v>
      </c>
      <c r="AS10" s="66">
        <f t="shared" si="17"/>
        <v>27250.858375499334</v>
      </c>
      <c r="AT10" s="66">
        <f t="shared" si="18"/>
        <v>40719.813721344042</v>
      </c>
      <c r="AU10" s="66">
        <f t="shared" si="19"/>
        <v>13468.955345844706</v>
      </c>
      <c r="AV10" s="53">
        <f t="shared" si="7"/>
        <v>30253.217332713797</v>
      </c>
      <c r="AW10" s="53">
        <f t="shared" si="8"/>
        <v>17128.252704185968</v>
      </c>
      <c r="AX10" s="53">
        <f t="shared" si="9"/>
        <v>13124.964628527825</v>
      </c>
      <c r="AY10" s="53">
        <f t="shared" si="10"/>
        <v>46001.802238717552</v>
      </c>
      <c r="AZ10" s="53">
        <f t="shared" si="11"/>
        <v>9.8024353449102293</v>
      </c>
      <c r="BA10" s="54">
        <f t="shared" si="20"/>
        <v>41.010547753103523</v>
      </c>
    </row>
    <row r="11" spans="1:53" x14ac:dyDescent="0.25">
      <c r="A11" s="26">
        <v>2028</v>
      </c>
      <c r="B11" s="88">
        <v>0</v>
      </c>
      <c r="C11" s="82">
        <v>0.27272727272727271</v>
      </c>
      <c r="D11" s="82">
        <v>350</v>
      </c>
      <c r="E11" s="82">
        <v>71</v>
      </c>
      <c r="F11" s="82">
        <v>350</v>
      </c>
      <c r="G11" s="82">
        <v>55</v>
      </c>
      <c r="H11" s="90">
        <v>0.03</v>
      </c>
      <c r="I11" s="90">
        <v>0.8</v>
      </c>
      <c r="J11" s="90">
        <v>0.7</v>
      </c>
      <c r="K11" s="92">
        <v>4627.0615584764546</v>
      </c>
      <c r="L11" s="93">
        <v>6759.2912930517887</v>
      </c>
      <c r="M11" s="18"/>
      <c r="N11" s="61">
        <v>2028</v>
      </c>
      <c r="O11" s="34">
        <f>Constants!N11*Constants!B11-B11</f>
        <v>23990.977896138484</v>
      </c>
      <c r="P11" s="9">
        <f t="shared" si="0"/>
        <v>4</v>
      </c>
      <c r="Q11" s="9">
        <f t="shared" si="1"/>
        <v>0.96199999999999997</v>
      </c>
      <c r="R11" s="9">
        <f t="shared" si="2"/>
        <v>0.96799999999999997</v>
      </c>
      <c r="S11" s="9">
        <f t="shared" si="12"/>
        <v>4</v>
      </c>
      <c r="T11" s="9">
        <f t="shared" si="3"/>
        <v>0.96799999999999997</v>
      </c>
      <c r="U11" s="41">
        <f t="shared" si="13"/>
        <v>18508.246233905818</v>
      </c>
      <c r="V11" s="41">
        <f t="shared" si="4"/>
        <v>6542.993971674131</v>
      </c>
      <c r="W11" s="41">
        <f>IF(O11&gt;0,IF('Anticipated Compliance'!V11/'Anticipated Compliance'!O11&gt;C11,'Anticipated Compliance'!O11*C11,'Anticipated Compliance'!V11),0)</f>
        <v>6542.993971674131</v>
      </c>
      <c r="X11" s="41">
        <f t="shared" si="14"/>
        <v>0</v>
      </c>
      <c r="Y11" s="41">
        <f t="shared" si="5"/>
        <v>1060.2623094414666</v>
      </c>
      <c r="Z11" s="41">
        <f t="shared" si="21"/>
        <v>22285.512565859404</v>
      </c>
      <c r="AA11" s="9">
        <f>(Constants!Q11*I11*Constants!F11*K11*0.000001)</f>
        <v>7151.586344781208</v>
      </c>
      <c r="AB11" s="9">
        <f>(Constants!Q11*(1-I11)*Constants!G11*K11*0.000001)</f>
        <v>2586.0647050324897</v>
      </c>
      <c r="AC11" s="9">
        <f>(Constants!Q11*Constants!R11*J11*Constants!F11*L11*0.000001)</f>
        <v>6855.9491585424284</v>
      </c>
      <c r="AD11" s="9">
        <f>(Constants!Q11*Constants!R11*(1-J11)*Constants!G11*L11*0.000001)</f>
        <v>4249.9888916474756</v>
      </c>
      <c r="AE11" s="28">
        <f t="shared" si="15"/>
        <v>20843.589100003599</v>
      </c>
      <c r="AF11" s="33">
        <f>Constants!Q11*Constants!H11*(K11+L11)/1000000</f>
        <v>6.5471528896287401</v>
      </c>
      <c r="AG11" s="43">
        <f t="shared" si="22"/>
        <v>29.847274083595416</v>
      </c>
      <c r="AH11" s="9">
        <f>Constants!Q11/Constants!L11*('Anticipated Compliance'!K11*I11)</f>
        <v>14430158.080672333</v>
      </c>
      <c r="AI11" s="9">
        <f>(Constants!Q11*Constants!R11)/Constants!L11*('Anticipated Compliance'!L11*J11)</f>
        <v>13833634.298915312</v>
      </c>
      <c r="AJ11" s="9">
        <f>Constants!Q11/Constants!M11*'Anticipated Compliance'!K11*(1-I11)</f>
        <v>3800800.565891373</v>
      </c>
      <c r="AK11" s="9">
        <f>(Constants!Q11*Constants!R11)/Constants!M11*'Anticipated Compliance'!L11*(1-J11)</f>
        <v>6246309.3645612523</v>
      </c>
      <c r="AL11" s="9">
        <f t="shared" si="16"/>
        <v>38310.902310040263</v>
      </c>
      <c r="AM11" s="28">
        <f>(AL11*Constants!I11*Constants!K11+'Anticipated Compliance'!AL11*(1-Constants!I11)*Constants!J11)*0.000453592</f>
        <v>10953.2197791081</v>
      </c>
      <c r="AN11" s="33">
        <f t="shared" si="6"/>
        <v>9890.3693208954992</v>
      </c>
      <c r="AO11" s="48">
        <f t="shared" si="23"/>
        <v>39459.698056324582</v>
      </c>
      <c r="AQ11" s="7">
        <v>2028</v>
      </c>
      <c r="AR11" s="59">
        <f>(K11+L11+K29+L29+K47+L47)/(Constants!N11+Constants!O11+Constants!P11)</f>
        <v>0.13714416106285884</v>
      </c>
      <c r="AS11" s="66">
        <f t="shared" si="17"/>
        <v>26993.559041278299</v>
      </c>
      <c r="AT11" s="66">
        <f t="shared" si="18"/>
        <v>40742.055274564489</v>
      </c>
      <c r="AU11" s="66">
        <f t="shared" si="19"/>
        <v>13748.496233286191</v>
      </c>
      <c r="AV11" s="53">
        <f t="shared" si="7"/>
        <v>30372.525200794458</v>
      </c>
      <c r="AW11" s="53">
        <f t="shared" si="8"/>
        <v>16450.305865163959</v>
      </c>
      <c r="AX11" s="53">
        <f t="shared" si="9"/>
        <v>13922.2193356305</v>
      </c>
      <c r="AY11" s="53">
        <f t="shared" si="10"/>
        <v>59924.021574348051</v>
      </c>
      <c r="AZ11" s="53">
        <f t="shared" si="11"/>
        <v>9.6757053639531563</v>
      </c>
      <c r="BA11" s="54">
        <f t="shared" si="20"/>
        <v>51.67617453284273</v>
      </c>
    </row>
    <row r="12" spans="1:53" x14ac:dyDescent="0.25">
      <c r="A12" s="26">
        <v>2029</v>
      </c>
      <c r="B12" s="88">
        <v>0</v>
      </c>
      <c r="C12" s="82">
        <v>0.27272727272727271</v>
      </c>
      <c r="D12" s="82">
        <v>350</v>
      </c>
      <c r="E12" s="82">
        <v>75</v>
      </c>
      <c r="F12" s="82">
        <v>350</v>
      </c>
      <c r="G12" s="82">
        <v>58</v>
      </c>
      <c r="H12" s="90">
        <v>0.03</v>
      </c>
      <c r="I12" s="90">
        <v>0.8</v>
      </c>
      <c r="J12" s="90">
        <v>0.6</v>
      </c>
      <c r="K12" s="92">
        <v>4692.8529842521912</v>
      </c>
      <c r="L12" s="93">
        <v>6675.2831110947409</v>
      </c>
      <c r="M12" s="18"/>
      <c r="N12" s="61">
        <v>2029</v>
      </c>
      <c r="O12" s="34">
        <f>Constants!N12*Constants!B12-B12</f>
        <v>24182.325617125884</v>
      </c>
      <c r="P12" s="9">
        <f t="shared" si="0"/>
        <v>4</v>
      </c>
      <c r="Q12" s="9">
        <f t="shared" si="1"/>
        <v>0.98199999999999998</v>
      </c>
      <c r="R12" s="9">
        <f t="shared" si="2"/>
        <v>0.98799999999999999</v>
      </c>
      <c r="S12" s="9">
        <f t="shared" si="12"/>
        <v>4</v>
      </c>
      <c r="T12" s="9">
        <f t="shared" si="3"/>
        <v>0.98799999999999999</v>
      </c>
      <c r="U12" s="41">
        <f t="shared" si="13"/>
        <v>18771.411937008765</v>
      </c>
      <c r="V12" s="41">
        <f t="shared" si="4"/>
        <v>6595.179713761604</v>
      </c>
      <c r="W12" s="41">
        <f>IF(O12&gt;0,IF('Anticipated Compliance'!V12/'Anticipated Compliance'!O12&gt;C12,'Anticipated Compliance'!O12*C12,'Anticipated Compliance'!V12),0)</f>
        <v>6595.179713761604</v>
      </c>
      <c r="X12" s="41">
        <f t="shared" si="14"/>
        <v>0</v>
      </c>
      <c r="Y12" s="41">
        <f t="shared" si="5"/>
        <v>1184.266033644486</v>
      </c>
      <c r="Z12" s="41">
        <f t="shared" si="21"/>
        <v>23469.77859950389</v>
      </c>
      <c r="AA12" s="9">
        <f>(Constants!Q12*I12*Constants!F12*K12*0.000001)</f>
        <v>7253.2735724601862</v>
      </c>
      <c r="AB12" s="9">
        <f>(Constants!Q12*(1-I12)*Constants!G12*K12*0.000001)</f>
        <v>2622.835532898549</v>
      </c>
      <c r="AC12" s="9">
        <f>(Constants!Q12*Constants!R12*J12*Constants!F12*L12*0.000001)</f>
        <v>5803.4911367857676</v>
      </c>
      <c r="AD12" s="9">
        <f>(Constants!Q12*Constants!R12*(1-J12)*Constants!G12*L12*0.000001)</f>
        <v>5596.2235961862762</v>
      </c>
      <c r="AE12" s="28">
        <f t="shared" si="15"/>
        <v>21275.82383833078</v>
      </c>
      <c r="AF12" s="33">
        <f>Constants!Q12*Constants!H12*(K12+L12)/1000000</f>
        <v>6.5366782548244853</v>
      </c>
      <c r="AG12" s="43">
        <f t="shared" si="22"/>
        <v>36.383952338419903</v>
      </c>
      <c r="AH12" s="9">
        <f>Constants!Q12/Constants!L12*('Anticipated Compliance'!K12*I12)</f>
        <v>14635338.120379714</v>
      </c>
      <c r="AI12" s="9">
        <f>(Constants!Q12*Constants!R12)/Constants!L12*('Anticipated Compliance'!L12*J12)</f>
        <v>11710030.542344162</v>
      </c>
      <c r="AJ12" s="9">
        <f>Constants!Q12/Constants!M12*'Anticipated Compliance'!K12*(1-I12)</f>
        <v>3854843.5227785856</v>
      </c>
      <c r="AK12" s="9">
        <f>(Constants!Q12*Constants!R12)/Constants!M12*'Anticipated Compliance'!L12*(1-J12)</f>
        <v>8224902.4047417343</v>
      </c>
      <c r="AL12" s="9">
        <f t="shared" si="16"/>
        <v>38425.1145902442</v>
      </c>
      <c r="AM12" s="28">
        <f>(AL12*Constants!I12*Constants!K12+'Anticipated Compliance'!AL12*(1-Constants!I12)*Constants!J12)*0.000453592</f>
        <v>10923.044750350486</v>
      </c>
      <c r="AN12" s="33">
        <f t="shared" si="6"/>
        <v>10352.779087980294</v>
      </c>
      <c r="AO12" s="48">
        <f t="shared" si="23"/>
        <v>49812.477144304874</v>
      </c>
      <c r="AQ12" s="7">
        <v>2029</v>
      </c>
      <c r="AR12" s="59">
        <f>(K12+L12+K30+L30+K48+L48)/(Constants!N12+Constants!O12+Constants!P12)</f>
        <v>0.13563449852192461</v>
      </c>
      <c r="AS12" s="66">
        <f t="shared" si="17"/>
        <v>27208.854808972654</v>
      </c>
      <c r="AT12" s="66">
        <f t="shared" si="18"/>
        <v>41182.665716156138</v>
      </c>
      <c r="AU12" s="66">
        <f t="shared" si="19"/>
        <v>13973.810907183486</v>
      </c>
      <c r="AV12" s="53">
        <f t="shared" si="7"/>
        <v>30768.219550957365</v>
      </c>
      <c r="AW12" s="53">
        <f t="shared" si="8"/>
        <v>16367.733755856856</v>
      </c>
      <c r="AX12" s="53">
        <f t="shared" si="9"/>
        <v>14400.485795100509</v>
      </c>
      <c r="AY12" s="53">
        <f t="shared" si="10"/>
        <v>74324.507369448547</v>
      </c>
      <c r="AZ12" s="53">
        <f t="shared" si="11"/>
        <v>9.6455188272192984</v>
      </c>
      <c r="BA12" s="54">
        <f t="shared" si="20"/>
        <v>62.308526391274839</v>
      </c>
    </row>
    <row r="13" spans="1:53" x14ac:dyDescent="0.25">
      <c r="A13" s="26">
        <v>2030</v>
      </c>
      <c r="B13" s="88">
        <v>0</v>
      </c>
      <c r="C13" s="82">
        <v>0.27272727272727271</v>
      </c>
      <c r="D13" s="82">
        <v>350</v>
      </c>
      <c r="E13" s="82">
        <v>78</v>
      </c>
      <c r="F13" s="82">
        <v>350</v>
      </c>
      <c r="G13" s="82">
        <v>60</v>
      </c>
      <c r="H13" s="90">
        <v>0.03</v>
      </c>
      <c r="I13" s="90">
        <v>0.8</v>
      </c>
      <c r="J13" s="90">
        <v>0.5</v>
      </c>
      <c r="K13" s="92">
        <v>4748.4540279789462</v>
      </c>
      <c r="L13" s="93">
        <v>6659.1298382845389</v>
      </c>
      <c r="M13" s="18"/>
      <c r="N13" s="61">
        <v>2030</v>
      </c>
      <c r="O13" s="34">
        <f>Constants!N13*Constants!B13-B13</f>
        <v>24319.142169415136</v>
      </c>
      <c r="P13" s="9">
        <f t="shared" si="0"/>
        <v>4</v>
      </c>
      <c r="Q13" s="9">
        <f t="shared" si="1"/>
        <v>0.99</v>
      </c>
      <c r="R13" s="9">
        <f t="shared" si="2"/>
        <v>0.996</v>
      </c>
      <c r="S13" s="9">
        <f t="shared" si="12"/>
        <v>4</v>
      </c>
      <c r="T13" s="9">
        <f t="shared" si="3"/>
        <v>0.996</v>
      </c>
      <c r="U13" s="41">
        <f t="shared" si="13"/>
        <v>18993.816111915785</v>
      </c>
      <c r="V13" s="41">
        <f t="shared" si="4"/>
        <v>6632.4933189314006</v>
      </c>
      <c r="W13" s="41">
        <f>IF(O13&gt;0,IF('Anticipated Compliance'!V13/'Anticipated Compliance'!O13&gt;C13,'Anticipated Compliance'!O13*C13,'Anticipated Compliance'!V13),0)</f>
        <v>6632.4933189314006</v>
      </c>
      <c r="X13" s="41">
        <f t="shared" si="14"/>
        <v>0</v>
      </c>
      <c r="Y13" s="41">
        <f t="shared" si="5"/>
        <v>1307.1672614320487</v>
      </c>
      <c r="Z13" s="41">
        <f t="shared" si="21"/>
        <v>24776.945860935939</v>
      </c>
      <c r="AA13" s="9">
        <f>(Constants!Q13*I13*Constants!F13*K13*0.000001)</f>
        <v>7339.2105456442587</v>
      </c>
      <c r="AB13" s="9">
        <f>(Constants!Q13*(1-I13)*Constants!G13*K13*0.000001)</f>
        <v>2653.9109562374324</v>
      </c>
      <c r="AC13" s="9">
        <f>(Constants!Q13*Constants!R13*J13*Constants!F13*L13*0.000001)</f>
        <v>4824.5395678371488</v>
      </c>
      <c r="AD13" s="9">
        <f>(Constants!Q13*Constants!R13*(1-J13)*Constants!G13*L13*0.000001)</f>
        <v>6978.3518749073037</v>
      </c>
      <c r="AE13" s="28">
        <f t="shared" si="15"/>
        <v>21796.012944626145</v>
      </c>
      <c r="AF13" s="33">
        <f>Constants!Q13*Constants!H13*(K13+L13)/1000000</f>
        <v>6.5593607231015039</v>
      </c>
      <c r="AG13" s="43">
        <f t="shared" si="22"/>
        <v>42.943313061521408</v>
      </c>
      <c r="AH13" s="9">
        <f>Constants!Q13/Constants!L13*('Anticipated Compliance'!K13*I13)</f>
        <v>14808737.985561458</v>
      </c>
      <c r="AI13" s="9">
        <f>(Constants!Q13*Constants!R13)/Constants!L13*('Anticipated Compliance'!L13*J13)</f>
        <v>9734744.8907125667</v>
      </c>
      <c r="AJ13" s="9">
        <f>Constants!Q13/Constants!M13*'Anticipated Compliance'!K13*(1-I13)</f>
        <v>3900515.8086969913</v>
      </c>
      <c r="AK13" s="9">
        <f>(Constants!Q13*Constants!R13)/Constants!M13*'Anticipated Compliance'!L13*(1-J13)</f>
        <v>10256249.081286456</v>
      </c>
      <c r="AL13" s="9">
        <f t="shared" si="16"/>
        <v>38700.247766257482</v>
      </c>
      <c r="AM13" s="28">
        <f>(AL13*Constants!I13*Constants!K13+'Anticipated Compliance'!AL13*(1-Constants!I13)*Constants!J13)*0.000453592</f>
        <v>10720.977591552777</v>
      </c>
      <c r="AN13" s="33">
        <f t="shared" si="6"/>
        <v>11075.035353073368</v>
      </c>
      <c r="AO13" s="48">
        <f t="shared" si="23"/>
        <v>60887.512497378244</v>
      </c>
      <c r="AQ13" s="7">
        <v>2030</v>
      </c>
      <c r="AR13" s="59">
        <f>(K13+L13+K31+L31+K49+L49)/(Constants!N13+Constants!O13+Constants!P13)</f>
        <v>0.13499483252177888</v>
      </c>
      <c r="AS13" s="66">
        <f t="shared" si="17"/>
        <v>27362.794581583526</v>
      </c>
      <c r="AT13" s="66">
        <f t="shared" si="18"/>
        <v>41532.433223424188</v>
      </c>
      <c r="AU13" s="66">
        <f t="shared" si="19"/>
        <v>14169.638641840664</v>
      </c>
      <c r="AV13" s="53">
        <f t="shared" si="7"/>
        <v>31262.937267151188</v>
      </c>
      <c r="AW13" s="53">
        <f t="shared" si="8"/>
        <v>16012.714579093965</v>
      </c>
      <c r="AX13" s="53">
        <f t="shared" si="9"/>
        <v>15250.222688057223</v>
      </c>
      <c r="AY13" s="53">
        <f t="shared" si="10"/>
        <v>89574.730057505789</v>
      </c>
      <c r="AZ13" s="53">
        <f t="shared" si="11"/>
        <v>9.6543437560204843</v>
      </c>
      <c r="BA13" s="54">
        <f t="shared" si="20"/>
        <v>72.950606056973768</v>
      </c>
    </row>
    <row r="14" spans="1:53" x14ac:dyDescent="0.25">
      <c r="A14" s="26">
        <v>2031</v>
      </c>
      <c r="B14" s="88">
        <v>0</v>
      </c>
      <c r="C14" s="82">
        <v>0.27272727272727271</v>
      </c>
      <c r="D14" s="82">
        <v>350</v>
      </c>
      <c r="E14" s="82">
        <v>80</v>
      </c>
      <c r="F14" s="82">
        <v>350</v>
      </c>
      <c r="G14" s="82">
        <v>63</v>
      </c>
      <c r="H14" s="90">
        <v>0.03</v>
      </c>
      <c r="I14" s="90">
        <v>0.8</v>
      </c>
      <c r="J14" s="90">
        <v>0.4</v>
      </c>
      <c r="K14" s="92">
        <v>8679.9828920389064</v>
      </c>
      <c r="L14" s="93">
        <v>6629.2705872384495</v>
      </c>
      <c r="M14" s="18"/>
      <c r="N14" s="61">
        <v>2031</v>
      </c>
      <c r="O14" s="34">
        <f>Constants!N14*Constants!B14-B14</f>
        <v>24404.554788487145</v>
      </c>
      <c r="P14" s="9">
        <f t="shared" si="0"/>
        <v>4</v>
      </c>
      <c r="Q14" s="9">
        <f t="shared" si="1"/>
        <v>0.998</v>
      </c>
      <c r="R14" s="9">
        <f t="shared" si="2"/>
        <v>1.004</v>
      </c>
      <c r="S14" s="9">
        <f t="shared" si="12"/>
        <v>4</v>
      </c>
      <c r="T14" s="9">
        <f t="shared" si="3"/>
        <v>1.004</v>
      </c>
      <c r="U14" s="41">
        <f t="shared" si="13"/>
        <v>34719.931568155625</v>
      </c>
      <c r="V14" s="41">
        <f t="shared" si="4"/>
        <v>6655.7876695874029</v>
      </c>
      <c r="W14" s="41">
        <f>IF(O14&gt;0,IF('Anticipated Compliance'!V14/'Anticipated Compliance'!O14&gt;C14,'Anticipated Compliance'!O14*C14,'Anticipated Compliance'!V14),0)</f>
        <v>6655.7876695874029</v>
      </c>
      <c r="X14" s="41">
        <f t="shared" si="14"/>
        <v>0</v>
      </c>
      <c r="Y14" s="41">
        <f t="shared" si="5"/>
        <v>16971.164449255884</v>
      </c>
      <c r="Z14" s="41">
        <f t="shared" si="21"/>
        <v>41748.110310191827</v>
      </c>
      <c r="AA14" s="9">
        <f>(Constants!Q14*I14*Constants!F14*K14*0.000001)</f>
        <v>13415.781557935332</v>
      </c>
      <c r="AB14" s="9">
        <f>(Constants!Q14*(1-I14)*Constants!G14*K14*0.000001)</f>
        <v>4851.2424383605439</v>
      </c>
      <c r="AC14" s="9">
        <f>(Constants!Q14*Constants!R14*J14*Constants!F14*L14*0.000001)</f>
        <v>3842.3252323634051</v>
      </c>
      <c r="AD14" s="9">
        <f>(Constants!Q14*Constants!R14*(1-J14)*Constants!G14*L14*0.000001)</f>
        <v>8336.4734952170311</v>
      </c>
      <c r="AE14" s="28">
        <f t="shared" si="15"/>
        <v>30445.822723876314</v>
      </c>
      <c r="AF14" s="33">
        <f>Constants!Q14*Constants!H14*(K14+L14)/1000000</f>
        <v>8.8028207505844787</v>
      </c>
      <c r="AG14" s="43">
        <f t="shared" si="22"/>
        <v>51.746133812105889</v>
      </c>
      <c r="AH14" s="9">
        <f>Constants!Q14/Constants!L14*('Anticipated Compliance'!K14*I14)</f>
        <v>27069777.154833198</v>
      </c>
      <c r="AI14" s="9">
        <f>(Constants!Q14*Constants!R14)/Constants!L14*('Anticipated Compliance'!L14*J14)</f>
        <v>7752875.7715161527</v>
      </c>
      <c r="AJ14" s="9">
        <f>Constants!Q14/Constants!M14*'Anticipated Compliance'!K14*(1-I14)</f>
        <v>7129985.947031958</v>
      </c>
      <c r="AK14" s="9">
        <f>(Constants!Q14*Constants!R14)/Constants!M14*'Anticipated Compliance'!L14*(1-J14)</f>
        <v>12252312.603199637</v>
      </c>
      <c r="AL14" s="9">
        <f t="shared" si="16"/>
        <v>54204.951476580951</v>
      </c>
      <c r="AM14" s="28">
        <f>(AL14*Constants!I14*Constants!K14+'Anticipated Compliance'!AL14*(1-Constants!I14)*Constants!J14)*0.000453592</f>
        <v>14831.734083335225</v>
      </c>
      <c r="AN14" s="33">
        <f t="shared" si="6"/>
        <v>15614.088640541089</v>
      </c>
      <c r="AO14" s="48">
        <f t="shared" si="23"/>
        <v>76501.601137919337</v>
      </c>
      <c r="AQ14" s="7">
        <v>2031</v>
      </c>
      <c r="AR14" s="59">
        <f>(K14+L14+K32+L32+K50+L50)/(Constants!N14+Constants!O14+Constants!P14)</f>
        <v>0.17311604577148643</v>
      </c>
      <c r="AS14" s="66">
        <f t="shared" si="17"/>
        <v>27458.89698248489</v>
      </c>
      <c r="AT14" s="66">
        <f t="shared" si="18"/>
        <v>61063.504591053643</v>
      </c>
      <c r="AU14" s="66">
        <f t="shared" si="19"/>
        <v>33604.607608568753</v>
      </c>
      <c r="AV14" s="53">
        <f t="shared" si="7"/>
        <v>41694.806142883965</v>
      </c>
      <c r="AW14" s="53">
        <f t="shared" si="8"/>
        <v>21042.353966974206</v>
      </c>
      <c r="AX14" s="53">
        <f t="shared" si="9"/>
        <v>20652.452175909752</v>
      </c>
      <c r="AY14" s="53">
        <f t="shared" si="10"/>
        <v>110227.18223341554</v>
      </c>
      <c r="AZ14" s="53">
        <f t="shared" si="11"/>
        <v>12.424118220187596</v>
      </c>
      <c r="BA14" s="54">
        <f t="shared" si="20"/>
        <v>86.645835812268771</v>
      </c>
    </row>
    <row r="15" spans="1:53" x14ac:dyDescent="0.25">
      <c r="A15" s="26">
        <v>2032</v>
      </c>
      <c r="B15" s="88">
        <v>0</v>
      </c>
      <c r="C15" s="82">
        <v>0.27272727272727271</v>
      </c>
      <c r="D15" s="82">
        <v>350</v>
      </c>
      <c r="E15" s="82">
        <v>80</v>
      </c>
      <c r="F15" s="82">
        <v>350</v>
      </c>
      <c r="G15" s="82">
        <v>66</v>
      </c>
      <c r="H15" s="90">
        <v>0.03</v>
      </c>
      <c r="I15" s="90">
        <v>0.8</v>
      </c>
      <c r="J15" s="90">
        <v>0.3</v>
      </c>
      <c r="K15" s="92">
        <v>9821.5554925291417</v>
      </c>
      <c r="L15" s="93">
        <v>6658.2257456258785</v>
      </c>
      <c r="M15" s="18"/>
      <c r="N15" s="61">
        <v>2032</v>
      </c>
      <c r="O15" s="34">
        <f>Constants!N15*Constants!B15-B15</f>
        <v>24608.802355833246</v>
      </c>
      <c r="P15" s="9">
        <f t="shared" si="0"/>
        <v>4</v>
      </c>
      <c r="Q15" s="9">
        <f t="shared" si="1"/>
        <v>1.002</v>
      </c>
      <c r="R15" s="9">
        <f t="shared" si="2"/>
        <v>1.008</v>
      </c>
      <c r="S15" s="9">
        <f t="shared" si="12"/>
        <v>4</v>
      </c>
      <c r="T15" s="9">
        <f t="shared" si="3"/>
        <v>1.008</v>
      </c>
      <c r="U15" s="41">
        <f t="shared" si="13"/>
        <v>39286.221970116567</v>
      </c>
      <c r="V15" s="41">
        <f t="shared" si="4"/>
        <v>6711.4915515908851</v>
      </c>
      <c r="W15" s="41">
        <f>IF(O15&gt;0,IF('Anticipated Compliance'!V15/'Anticipated Compliance'!O15&gt;C15,'Anticipated Compliance'!O15*C15,'Anticipated Compliance'!V15),0)</f>
        <v>6711.4915515908851</v>
      </c>
      <c r="X15" s="41">
        <f t="shared" si="14"/>
        <v>0</v>
      </c>
      <c r="Y15" s="41">
        <f t="shared" si="5"/>
        <v>21388.911165874204</v>
      </c>
      <c r="Z15" s="41">
        <f t="shared" si="21"/>
        <v>63137.021476066031</v>
      </c>
      <c r="AA15" s="9">
        <f>(Constants!Q15*I15*Constants!F15*K15*0.000001)</f>
        <v>15180.196169253042</v>
      </c>
      <c r="AB15" s="9">
        <f>(Constants!Q15*(1-I15)*Constants!G15*K15*0.000001)</f>
        <v>5489.267364774536</v>
      </c>
      <c r="AC15" s="9">
        <f>(Constants!Q15*Constants!R15*J15*Constants!F15*L15*0.000001)</f>
        <v>2894.3307316235691</v>
      </c>
      <c r="AD15" s="9">
        <f>(Constants!Q15*Constants!R15*(1-J15)*Constants!G15*L15*0.000001)</f>
        <v>9768.3662192295469</v>
      </c>
      <c r="AE15" s="28">
        <f t="shared" si="15"/>
        <v>33332.160484880696</v>
      </c>
      <c r="AF15" s="33">
        <f>Constants!Q15*Constants!H15*(K15+L15)/1000000</f>
        <v>9.4758742119391375</v>
      </c>
      <c r="AG15" s="43">
        <f t="shared" si="22"/>
        <v>61.222008024045024</v>
      </c>
      <c r="AH15" s="9">
        <f>Constants!Q15/Constants!L15*('Anticipated Compliance'!K15*I15)</f>
        <v>30629935.77331122</v>
      </c>
      <c r="AI15" s="9">
        <f>(Constants!Q15*Constants!R15)/Constants!L15*('Anticipated Compliance'!L15*J15)</f>
        <v>5840053.9379006634</v>
      </c>
      <c r="AJ15" s="9">
        <f>Constants!Q15/Constants!M15*'Anticipated Compliance'!K15*(1-I15)</f>
        <v>8067706.2974346513</v>
      </c>
      <c r="AK15" s="9">
        <f>(Constants!Q15*Constants!R15)/Constants!M15*'Anticipated Compliance'!L15*(1-J15)</f>
        <v>14356799.264005801</v>
      </c>
      <c r="AL15" s="9">
        <f t="shared" si="16"/>
        <v>58894.495272652333</v>
      </c>
      <c r="AM15" s="28">
        <f>(AL15*Constants!I15*Constants!K15+'Anticipated Compliance'!AL15*(1-Constants!I15)*Constants!J15)*0.000453592</f>
        <v>14475.369697753662</v>
      </c>
      <c r="AN15" s="33">
        <f t="shared" si="6"/>
        <v>18856.790787127036</v>
      </c>
      <c r="AO15" s="48">
        <f t="shared" si="23"/>
        <v>95358.391925046366</v>
      </c>
      <c r="AQ15" s="7">
        <v>2032</v>
      </c>
      <c r="AR15" s="59">
        <f>(K15+L15+K33+L33+K51+L51)/(Constants!N15+Constants!O15+Constants!P15)</f>
        <v>0.1813983140943827</v>
      </c>
      <c r="AS15" s="66">
        <f t="shared" si="17"/>
        <v>27688.707071596844</v>
      </c>
      <c r="AT15" s="66">
        <f t="shared" si="18"/>
        <v>65850.217813484938</v>
      </c>
      <c r="AU15" s="66">
        <f t="shared" si="19"/>
        <v>38161.510741888094</v>
      </c>
      <c r="AV15" s="53">
        <f t="shared" si="7"/>
        <v>44675.263812798759</v>
      </c>
      <c r="AW15" s="53">
        <f t="shared" si="8"/>
        <v>20100.797440224927</v>
      </c>
      <c r="AX15" s="53">
        <f t="shared" si="9"/>
        <v>24574.466372573836</v>
      </c>
      <c r="AY15" s="53">
        <f t="shared" si="10"/>
        <v>134801.64860598935</v>
      </c>
      <c r="AZ15" s="53">
        <f t="shared" si="11"/>
        <v>13.127471589947753</v>
      </c>
      <c r="BA15" s="54">
        <f t="shared" si="20"/>
        <v>101.11637902058406</v>
      </c>
    </row>
    <row r="16" spans="1:53" x14ac:dyDescent="0.25">
      <c r="A16" s="26">
        <v>2033</v>
      </c>
      <c r="B16" s="88">
        <v>0</v>
      </c>
      <c r="C16" s="82">
        <v>0.27272727272727271</v>
      </c>
      <c r="D16" s="82">
        <v>350</v>
      </c>
      <c r="E16" s="82">
        <v>80</v>
      </c>
      <c r="F16" s="82">
        <v>350</v>
      </c>
      <c r="G16" s="82">
        <v>69</v>
      </c>
      <c r="H16" s="90">
        <v>0.03</v>
      </c>
      <c r="I16" s="90">
        <v>0.7</v>
      </c>
      <c r="J16" s="90">
        <v>0.2</v>
      </c>
      <c r="K16" s="92">
        <v>10756.751270100749</v>
      </c>
      <c r="L16" s="93">
        <v>6614.3941782817519</v>
      </c>
      <c r="M16" s="18"/>
      <c r="N16" s="61">
        <v>2033</v>
      </c>
      <c r="O16" s="34">
        <f>Constants!N16*Constants!B16-B16</f>
        <v>24689.328669466355</v>
      </c>
      <c r="P16" s="9">
        <f t="shared" si="0"/>
        <v>4</v>
      </c>
      <c r="Q16" s="9">
        <f t="shared" si="1"/>
        <v>1.012</v>
      </c>
      <c r="R16" s="9">
        <f t="shared" si="2"/>
        <v>1.018</v>
      </c>
      <c r="S16" s="9">
        <f t="shared" si="12"/>
        <v>4</v>
      </c>
      <c r="T16" s="9">
        <f t="shared" si="3"/>
        <v>1.018</v>
      </c>
      <c r="U16" s="41">
        <f t="shared" si="13"/>
        <v>43027.005080402996</v>
      </c>
      <c r="V16" s="41">
        <f t="shared" si="4"/>
        <v>6733.4532734908234</v>
      </c>
      <c r="W16" s="41">
        <f>IF(O16&gt;0,IF('Anticipated Compliance'!V16/'Anticipated Compliance'!O16&gt;C16,'Anticipated Compliance'!O16*C16,'Anticipated Compliance'!V16),0)</f>
        <v>6733.4532734908234</v>
      </c>
      <c r="X16" s="41">
        <f t="shared" si="14"/>
        <v>0</v>
      </c>
      <c r="Y16" s="41">
        <f t="shared" si="5"/>
        <v>25071.129684427466</v>
      </c>
      <c r="Z16" s="41">
        <f t="shared" si="21"/>
        <v>88208.151160493493</v>
      </c>
      <c r="AA16" s="9">
        <f>(Constants!Q16*I16*Constants!F16*K16*0.000001)</f>
        <v>14547.430417684249</v>
      </c>
      <c r="AB16" s="9">
        <f>(Constants!Q16*(1-I16)*Constants!G16*K16*0.000001)</f>
        <v>9017.9224272889624</v>
      </c>
      <c r="AC16" s="9">
        <f>(Constants!Q16*Constants!R16*J16*Constants!F16*L16*0.000001)</f>
        <v>1916.8514328660515</v>
      </c>
      <c r="AD16" s="9">
        <f>(Constants!Q16*Constants!R16*(1-J16)*Constants!G16*L16*0.000001)</f>
        <v>11090.354718725013</v>
      </c>
      <c r="AE16" s="28">
        <f t="shared" si="15"/>
        <v>36572.558996564279</v>
      </c>
      <c r="AF16" s="33">
        <f>Constants!Q16*Constants!H16*(K16+L16)/1000000</f>
        <v>9.9884086328199384</v>
      </c>
      <c r="AG16" s="43">
        <f t="shared" si="22"/>
        <v>71.210416656864965</v>
      </c>
      <c r="AH16" s="9">
        <f>Constants!Q16/Constants!L16*('Anticipated Compliance'!K16*I16)</f>
        <v>29353168.720105428</v>
      </c>
      <c r="AI16" s="9">
        <f>(Constants!Q16*Constants!R16)/Constants!L16*('Anticipated Compliance'!L16*J16)</f>
        <v>3867738.9686562787</v>
      </c>
      <c r="AJ16" s="9">
        <f>Constants!Q16/Constants!M16*'Anticipated Compliance'!K16*(1-I16)</f>
        <v>13253854.243516998</v>
      </c>
      <c r="AK16" s="9">
        <f>(Constants!Q16*Constants!R16)/Constants!M16*'Anticipated Compliance'!L16*(1-J16)</f>
        <v>16299757.082194321</v>
      </c>
      <c r="AL16" s="9">
        <f t="shared" si="16"/>
        <v>62774.51901447303</v>
      </c>
      <c r="AM16" s="28">
        <f>(AL16*Constants!I16*Constants!K16+'Anticipated Compliance'!AL16*(1-Constants!I16)*Constants!J16)*0.000453592</f>
        <v>16140.464902744483</v>
      </c>
      <c r="AN16" s="33">
        <f t="shared" si="6"/>
        <v>20432.094093819796</v>
      </c>
      <c r="AO16" s="48">
        <f t="shared" si="23"/>
        <v>115790.48601886616</v>
      </c>
      <c r="AQ16" s="7">
        <v>2033</v>
      </c>
      <c r="AR16" s="59">
        <f>(K16+L16+K34+L34+K52+L52)/(Constants!N16+Constants!O16+Constants!P16)</f>
        <v>0.18803249042323888</v>
      </c>
      <c r="AS16" s="66">
        <f t="shared" si="17"/>
        <v>27779.311623476395</v>
      </c>
      <c r="AT16" s="66">
        <f t="shared" si="18"/>
        <v>69678.951696733857</v>
      </c>
      <c r="AU16" s="66">
        <f t="shared" si="19"/>
        <v>41899.640073257455</v>
      </c>
      <c r="AV16" s="53">
        <f t="shared" si="7"/>
        <v>47953.275698912956</v>
      </c>
      <c r="AW16" s="53">
        <f t="shared" si="8"/>
        <v>22044.799501423073</v>
      </c>
      <c r="AX16" s="53">
        <f t="shared" si="9"/>
        <v>25908.476197489883</v>
      </c>
      <c r="AY16" s="53">
        <f t="shared" si="10"/>
        <v>160710.12480347924</v>
      </c>
      <c r="AZ16" s="53">
        <f t="shared" si="11"/>
        <v>13.652102542787087</v>
      </c>
      <c r="BA16" s="54">
        <f t="shared" si="20"/>
        <v>116.1652281745237</v>
      </c>
    </row>
    <row r="17" spans="1:53" x14ac:dyDescent="0.25">
      <c r="A17" s="26">
        <v>2034</v>
      </c>
      <c r="B17" s="88">
        <v>0</v>
      </c>
      <c r="C17" s="82">
        <v>0.27272727272727271</v>
      </c>
      <c r="D17" s="82">
        <v>350</v>
      </c>
      <c r="E17" s="82">
        <v>80</v>
      </c>
      <c r="F17" s="82">
        <v>350</v>
      </c>
      <c r="G17" s="82">
        <v>71</v>
      </c>
      <c r="H17" s="90">
        <v>0.03</v>
      </c>
      <c r="I17" s="90">
        <v>0.7</v>
      </c>
      <c r="J17" s="90">
        <v>0.1</v>
      </c>
      <c r="K17" s="92">
        <v>11741.774768536863</v>
      </c>
      <c r="L17" s="93">
        <v>6615.4031677133871</v>
      </c>
      <c r="M17" s="18"/>
      <c r="N17" s="61">
        <v>2034</v>
      </c>
      <c r="O17" s="34">
        <f>Constants!N17*Constants!B17-B17</f>
        <v>24862.890238656149</v>
      </c>
      <c r="P17" s="9">
        <f t="shared" si="0"/>
        <v>4</v>
      </c>
      <c r="Q17" s="9">
        <f t="shared" si="1"/>
        <v>1.0190000000000001</v>
      </c>
      <c r="R17" s="9">
        <f t="shared" si="2"/>
        <v>1.0250000000000001</v>
      </c>
      <c r="S17" s="9">
        <f t="shared" si="12"/>
        <v>4</v>
      </c>
      <c r="T17" s="9">
        <f t="shared" si="3"/>
        <v>1.0250000000000001</v>
      </c>
      <c r="U17" s="41">
        <f t="shared" si="13"/>
        <v>46967.099074147452</v>
      </c>
      <c r="V17" s="41">
        <f t="shared" si="4"/>
        <v>6780.7882469062224</v>
      </c>
      <c r="W17" s="41">
        <f>IF(O17&gt;0,IF('Anticipated Compliance'!V17/'Anticipated Compliance'!O17&gt;C17,'Anticipated Compliance'!O17*C17,'Anticipated Compliance'!V17),0)</f>
        <v>6780.7882469062224</v>
      </c>
      <c r="X17" s="41">
        <f t="shared" si="14"/>
        <v>0</v>
      </c>
      <c r="Y17" s="41">
        <f t="shared" si="5"/>
        <v>28884.997082397524</v>
      </c>
      <c r="Z17" s="41">
        <f t="shared" si="21"/>
        <v>117093.14824289101</v>
      </c>
      <c r="AA17" s="9">
        <f>(Constants!Q17*I17*Constants!F17*K17*0.000001)</f>
        <v>15879.57619696925</v>
      </c>
      <c r="AB17" s="9">
        <f>(Constants!Q17*(1-I17)*Constants!G17*K17*0.000001)</f>
        <v>9843.7168772028799</v>
      </c>
      <c r="AC17" s="9">
        <f>(Constants!Q17*Constants!R17*J17*Constants!F17*L17*0.000001)</f>
        <v>958.5719190016697</v>
      </c>
      <c r="AD17" s="9">
        <f>(Constants!Q17*Constants!R17*(1-J17)*Constants!G17*L17*0.000001)</f>
        <v>12478.552302718166</v>
      </c>
      <c r="AE17" s="28">
        <f t="shared" si="15"/>
        <v>39160.417295891966</v>
      </c>
      <c r="AF17" s="33">
        <f>Constants!Q17*Constants!H17*(K17+L17)/1000000</f>
        <v>10.555377313343893</v>
      </c>
      <c r="AG17" s="43">
        <f t="shared" si="22"/>
        <v>81.765793970208861</v>
      </c>
      <c r="AH17" s="9">
        <f>Constants!Q17/Constants!L17*('Anticipated Compliance'!K17*I17)</f>
        <v>32041114.198888727</v>
      </c>
      <c r="AI17" s="9">
        <f>(Constants!Q17*Constants!R17)/Constants!L17*('Anticipated Compliance'!L17*J17)</f>
        <v>1934164.4854755241</v>
      </c>
      <c r="AJ17" s="9">
        <f>Constants!Q17/Constants!M17*'Anticipated Compliance'!K17*(1-I17)</f>
        <v>14467543.911232924</v>
      </c>
      <c r="AK17" s="9">
        <f>(Constants!Q17*Constants!R17)/Constants!M17*'Anticipated Compliance'!L17*(1-J17)</f>
        <v>18340023.960491132</v>
      </c>
      <c r="AL17" s="9">
        <f t="shared" si="16"/>
        <v>66782.84655608832</v>
      </c>
      <c r="AM17" s="28">
        <f>(AL17*Constants!I17*Constants!K17+'Anticipated Compliance'!AL17*(1-Constants!I17)*Constants!J17)*0.000453592</f>
        <v>17119.352511773814</v>
      </c>
      <c r="AN17" s="33">
        <f t="shared" si="6"/>
        <v>22041.064784118153</v>
      </c>
      <c r="AO17" s="48">
        <f t="shared" si="23"/>
        <v>137831.5508029843</v>
      </c>
      <c r="AQ17" s="7">
        <v>2034</v>
      </c>
      <c r="AR17" s="59">
        <f>(K17+L17+K35+L35+K53+L53)/(Constants!N17+Constants!O17+Constants!P17)</f>
        <v>0.19482685182156656</v>
      </c>
      <c r="AS17" s="66">
        <f t="shared" si="17"/>
        <v>27974.595220731331</v>
      </c>
      <c r="AT17" s="66">
        <f t="shared" si="18"/>
        <v>73806.547627508218</v>
      </c>
      <c r="AU17" s="66">
        <f t="shared" si="19"/>
        <v>45831.952406776887</v>
      </c>
      <c r="AV17" s="53">
        <f t="shared" si="7"/>
        <v>50621.207720640858</v>
      </c>
      <c r="AW17" s="53">
        <f t="shared" si="8"/>
        <v>23047.318204003925</v>
      </c>
      <c r="AX17" s="53">
        <f t="shared" si="9"/>
        <v>27573.889516636937</v>
      </c>
      <c r="AY17" s="53">
        <f t="shared" si="10"/>
        <v>188284.01432011617</v>
      </c>
      <c r="AZ17" s="53">
        <f t="shared" si="11"/>
        <v>14.24484696707588</v>
      </c>
      <c r="BA17" s="54">
        <f t="shared" si="20"/>
        <v>131.86746543480112</v>
      </c>
    </row>
    <row r="18" spans="1:53" ht="15.75" thickBot="1" x14ac:dyDescent="0.3">
      <c r="A18" s="26">
        <v>2035</v>
      </c>
      <c r="B18" s="89">
        <v>0</v>
      </c>
      <c r="C18" s="85">
        <v>0.27272727272727271</v>
      </c>
      <c r="D18" s="85">
        <v>350</v>
      </c>
      <c r="E18" s="85">
        <v>80</v>
      </c>
      <c r="F18" s="85">
        <v>350</v>
      </c>
      <c r="G18" s="85">
        <v>74</v>
      </c>
      <c r="H18" s="91">
        <v>0.03</v>
      </c>
      <c r="I18" s="91">
        <v>0.7</v>
      </c>
      <c r="J18" s="91">
        <v>0.1</v>
      </c>
      <c r="K18" s="94">
        <v>12742.180171752321</v>
      </c>
      <c r="L18" s="95">
        <v>6491.9795241237371</v>
      </c>
      <c r="M18" s="18"/>
      <c r="N18" s="61">
        <v>2035</v>
      </c>
      <c r="O18" s="35">
        <f>Constants!N18*Constants!B18-B18</f>
        <v>25041.729017719965</v>
      </c>
      <c r="P18" s="16">
        <f t="shared" si="0"/>
        <v>4</v>
      </c>
      <c r="Q18" s="16">
        <f t="shared" si="1"/>
        <v>1.046</v>
      </c>
      <c r="R18" s="16">
        <f t="shared" si="2"/>
        <v>1.052</v>
      </c>
      <c r="S18" s="27">
        <f t="shared" si="12"/>
        <v>4</v>
      </c>
      <c r="T18" s="16">
        <f t="shared" si="3"/>
        <v>1.052</v>
      </c>
      <c r="U18" s="50">
        <f t="shared" si="13"/>
        <v>50968.720687009285</v>
      </c>
      <c r="V18" s="50">
        <f t="shared" si="4"/>
        <v>6829.5624593781713</v>
      </c>
      <c r="W18" s="50">
        <f>IF(O18&gt;0,IF('Anticipated Compliance'!V18/'Anticipated Compliance'!O18&gt;C18,'Anticipated Compliance'!O18*C18,'Anticipated Compliance'!V18),0)</f>
        <v>6829.5624593781713</v>
      </c>
      <c r="X18" s="50">
        <f t="shared" si="14"/>
        <v>0</v>
      </c>
      <c r="Y18" s="50">
        <f t="shared" si="5"/>
        <v>32756.554128667492</v>
      </c>
      <c r="Z18" s="50">
        <f t="shared" si="21"/>
        <v>149849.70237155849</v>
      </c>
      <c r="AA18" s="27">
        <f>(Constants!Q18*I18*Constants!F18*K18*0.000001)</f>
        <v>17232.524464277834</v>
      </c>
      <c r="AB18" s="27">
        <f>(Constants!Q18*(1-I18)*Constants!G18*K18*0.000001)</f>
        <v>10682.406746988559</v>
      </c>
      <c r="AC18" s="27">
        <f>(Constants!Q18*Constants!R18*J18*Constants!F18*L18*0.000001)</f>
        <v>940.68783304552949</v>
      </c>
      <c r="AD18" s="27">
        <f>(Constants!Q18*Constants!R18*(1-J18)*Constants!G18*L18*0.000001)</f>
        <v>12245.739826610554</v>
      </c>
      <c r="AE18" s="47">
        <f t="shared" si="15"/>
        <v>41101.358870922479</v>
      </c>
      <c r="AF18" s="36">
        <f>Constants!Q18*Constants!H18*(K18+L18)/1000000</f>
        <v>11.059641825128733</v>
      </c>
      <c r="AG18" s="49">
        <f t="shared" si="22"/>
        <v>92.825435795337597</v>
      </c>
      <c r="AH18" s="27">
        <f>Constants!Q18/Constants!L18*('Anticipated Compliance'!K18*I18)</f>
        <v>34771034.028002098</v>
      </c>
      <c r="AI18" s="27">
        <f>(Constants!Q18*Constants!R18)/Constants!L18*('Anticipated Compliance'!L18*J18)</f>
        <v>1898078.7591717704</v>
      </c>
      <c r="AJ18" s="27">
        <f>Constants!Q18/Constants!M18*'Anticipated Compliance'!K18*(1-I18)</f>
        <v>15700186.283051971</v>
      </c>
      <c r="AK18" s="27">
        <f>(Constants!Q18*Constants!R18)/Constants!M18*'Anticipated Compliance'!L18*(1-J18)</f>
        <v>17997853.948575184</v>
      </c>
      <c r="AL18" s="27">
        <f t="shared" si="16"/>
        <v>70367.153018801022</v>
      </c>
      <c r="AM18" s="47">
        <f>(AL18*Constants!I18*Constants!K18+'Anticipated Compliance'!AL18*(1-Constants!I18)*Constants!J18)*0.000453592</f>
        <v>18020.684139613477</v>
      </c>
      <c r="AN18" s="36">
        <f t="shared" si="6"/>
        <v>23080.674731309002</v>
      </c>
      <c r="AO18" s="51">
        <f t="shared" si="23"/>
        <v>160912.22553429331</v>
      </c>
      <c r="AQ18" s="7">
        <v>2035</v>
      </c>
      <c r="AR18" s="60">
        <f>(K18+L18+K36+L36+K54+L54)/(Constants!N18+Constants!O18+Constants!P18)</f>
        <v>0.20064222620386471</v>
      </c>
      <c r="AS18" s="73">
        <f t="shared" si="17"/>
        <v>28175.816494929837</v>
      </c>
      <c r="AT18" s="73">
        <f t="shared" si="18"/>
        <v>78000.615143787916</v>
      </c>
      <c r="AU18" s="73">
        <f t="shared" si="19"/>
        <v>49824.798648858079</v>
      </c>
      <c r="AV18" s="55">
        <f t="shared" si="7"/>
        <v>52644.29200985498</v>
      </c>
      <c r="AW18" s="55">
        <f t="shared" si="8"/>
        <v>23985.350783759503</v>
      </c>
      <c r="AX18" s="55">
        <f t="shared" si="9"/>
        <v>28658.941226095485</v>
      </c>
      <c r="AY18" s="55">
        <f t="shared" si="10"/>
        <v>216942.95554621166</v>
      </c>
      <c r="AZ18" s="55">
        <f t="shared" si="11"/>
        <v>14.775562110573725</v>
      </c>
      <c r="BA18" s="56">
        <f t="shared" si="20"/>
        <v>148.15471530490763</v>
      </c>
    </row>
    <row r="20" spans="1:53" ht="15.75" thickBot="1" x14ac:dyDescent="0.3">
      <c r="B20" s="28" t="s">
        <v>208</v>
      </c>
      <c r="C20" s="9"/>
      <c r="D20" s="9"/>
      <c r="E20" s="9"/>
      <c r="F20" s="9"/>
      <c r="G20" s="9"/>
      <c r="H20" s="9"/>
      <c r="I20" s="9"/>
      <c r="J20" s="9"/>
      <c r="K20" s="9"/>
      <c r="L20" s="9"/>
      <c r="X20" s="22"/>
    </row>
    <row r="21" spans="1:53" ht="105" x14ac:dyDescent="0.25">
      <c r="B21" s="29" t="s">
        <v>157</v>
      </c>
      <c r="C21" s="30" t="s">
        <v>158</v>
      </c>
      <c r="D21" s="30" t="s">
        <v>159</v>
      </c>
      <c r="E21" s="30" t="s">
        <v>160</v>
      </c>
      <c r="F21" s="30" t="s">
        <v>161</v>
      </c>
      <c r="G21" s="30" t="s">
        <v>162</v>
      </c>
      <c r="H21" s="30" t="s">
        <v>163</v>
      </c>
      <c r="I21" s="30" t="s">
        <v>164</v>
      </c>
      <c r="J21" s="30" t="s">
        <v>165</v>
      </c>
      <c r="K21" s="30" t="s">
        <v>210</v>
      </c>
      <c r="L21" s="31" t="s">
        <v>211</v>
      </c>
      <c r="M21" s="2"/>
      <c r="O21" s="45" t="s">
        <v>166</v>
      </c>
      <c r="P21" s="46" t="s">
        <v>167</v>
      </c>
      <c r="Q21" s="46" t="s">
        <v>168</v>
      </c>
      <c r="R21" s="46" t="s">
        <v>169</v>
      </c>
      <c r="S21" s="46" t="s">
        <v>170</v>
      </c>
      <c r="T21" s="46" t="s">
        <v>171</v>
      </c>
      <c r="U21" s="23" t="s">
        <v>212</v>
      </c>
      <c r="V21" s="23" t="s">
        <v>213</v>
      </c>
      <c r="W21" s="23" t="s">
        <v>214</v>
      </c>
      <c r="X21" s="23" t="s">
        <v>224</v>
      </c>
      <c r="Y21" s="23" t="s">
        <v>225</v>
      </c>
      <c r="Z21" s="23" t="s">
        <v>217</v>
      </c>
      <c r="AA21" s="23" t="s">
        <v>175</v>
      </c>
      <c r="AB21" s="23" t="s">
        <v>176</v>
      </c>
      <c r="AC21" s="23" t="s">
        <v>177</v>
      </c>
      <c r="AD21" s="23" t="s">
        <v>178</v>
      </c>
      <c r="AE21" s="23" t="s">
        <v>179</v>
      </c>
      <c r="AF21" s="23" t="s">
        <v>180</v>
      </c>
      <c r="AG21" s="23" t="s">
        <v>235</v>
      </c>
      <c r="AH21" s="23" t="s">
        <v>181</v>
      </c>
      <c r="AI21" s="23" t="s">
        <v>236</v>
      </c>
      <c r="AJ21" s="23" t="s">
        <v>182</v>
      </c>
      <c r="AK21" s="23" t="s">
        <v>237</v>
      </c>
      <c r="AL21" s="23" t="s">
        <v>183</v>
      </c>
      <c r="AM21" s="23" t="s">
        <v>184</v>
      </c>
      <c r="AN21" s="23" t="s">
        <v>185</v>
      </c>
      <c r="AO21" s="24" t="s">
        <v>186</v>
      </c>
      <c r="AP21" s="2"/>
      <c r="AQ21" s="7"/>
    </row>
    <row r="22" spans="1:53" ht="30" x14ac:dyDescent="0.25">
      <c r="B22" s="13" t="s">
        <v>45</v>
      </c>
      <c r="C22" s="3" t="s">
        <v>47</v>
      </c>
      <c r="D22" s="3" t="s">
        <v>188</v>
      </c>
      <c r="E22" s="3" t="s">
        <v>51</v>
      </c>
      <c r="F22" s="3" t="s">
        <v>53</v>
      </c>
      <c r="G22" s="3" t="s">
        <v>55</v>
      </c>
      <c r="H22" s="3" t="s">
        <v>57</v>
      </c>
      <c r="I22" s="3" t="s">
        <v>59</v>
      </c>
      <c r="J22" s="3" t="s">
        <v>61</v>
      </c>
      <c r="K22" s="12" t="s">
        <v>63</v>
      </c>
      <c r="L22" s="32" t="s">
        <v>65</v>
      </c>
      <c r="M22" s="2"/>
      <c r="O22" s="19" t="s">
        <v>189</v>
      </c>
      <c r="P22" s="12" t="s">
        <v>69</v>
      </c>
      <c r="Q22" s="12" t="s">
        <v>71</v>
      </c>
      <c r="R22" s="12" t="s">
        <v>73</v>
      </c>
      <c r="S22" s="12" t="s">
        <v>190</v>
      </c>
      <c r="T22" s="12" t="s">
        <v>191</v>
      </c>
      <c r="U22" s="12" t="s">
        <v>114</v>
      </c>
      <c r="V22" s="12" t="s">
        <v>116</v>
      </c>
      <c r="W22" s="12" t="s">
        <v>117</v>
      </c>
      <c r="X22" s="12" t="s">
        <v>120</v>
      </c>
      <c r="Y22" s="12" t="s">
        <v>119</v>
      </c>
      <c r="Z22" s="12" t="s">
        <v>121</v>
      </c>
      <c r="AA22" s="12" t="s">
        <v>85</v>
      </c>
      <c r="AB22" s="12" t="s">
        <v>87</v>
      </c>
      <c r="AC22" s="12" t="s">
        <v>89</v>
      </c>
      <c r="AD22" s="12" t="s">
        <v>91</v>
      </c>
      <c r="AE22" s="12" t="s">
        <v>93</v>
      </c>
      <c r="AF22" s="12" t="s">
        <v>192</v>
      </c>
      <c r="AG22" s="12" t="s">
        <v>96</v>
      </c>
      <c r="AH22" s="12" t="s">
        <v>98</v>
      </c>
      <c r="AI22" s="12" t="s">
        <v>100</v>
      </c>
      <c r="AJ22" s="12" t="s">
        <v>102</v>
      </c>
      <c r="AK22" s="12" t="s">
        <v>104</v>
      </c>
      <c r="AL22" s="12" t="s">
        <v>106</v>
      </c>
      <c r="AM22" s="12" t="s">
        <v>108</v>
      </c>
      <c r="AN22" s="12" t="s">
        <v>110</v>
      </c>
      <c r="AO22" s="32" t="s">
        <v>112</v>
      </c>
      <c r="AP22" s="2"/>
      <c r="AQ22" s="7"/>
    </row>
    <row r="23" spans="1:53" ht="24.75" x14ac:dyDescent="0.25">
      <c r="B23" s="20" t="s">
        <v>193</v>
      </c>
      <c r="C23" s="17" t="s">
        <v>148</v>
      </c>
      <c r="D23" s="17" t="s">
        <v>194</v>
      </c>
      <c r="E23" s="17" t="s">
        <v>195</v>
      </c>
      <c r="F23" s="17" t="s">
        <v>196</v>
      </c>
      <c r="G23" s="17" t="s">
        <v>197</v>
      </c>
      <c r="H23" s="17" t="s">
        <v>148</v>
      </c>
      <c r="I23" s="17" t="s">
        <v>148</v>
      </c>
      <c r="J23" s="17" t="s">
        <v>148</v>
      </c>
      <c r="K23" s="17" t="s">
        <v>223</v>
      </c>
      <c r="L23" s="21" t="s">
        <v>223</v>
      </c>
      <c r="M23" s="17"/>
      <c r="O23" s="20" t="s">
        <v>193</v>
      </c>
      <c r="P23" s="10" t="s">
        <v>198</v>
      </c>
      <c r="Q23" s="10" t="s">
        <v>198</v>
      </c>
      <c r="R23" s="10" t="s">
        <v>198</v>
      </c>
      <c r="S23" s="10" t="s">
        <v>193</v>
      </c>
      <c r="T23" s="10" t="s">
        <v>193</v>
      </c>
      <c r="U23" s="10" t="s">
        <v>193</v>
      </c>
      <c r="V23" s="10" t="s">
        <v>193</v>
      </c>
      <c r="W23" s="10" t="s">
        <v>193</v>
      </c>
      <c r="X23" s="10" t="s">
        <v>193</v>
      </c>
      <c r="Y23" s="10" t="s">
        <v>193</v>
      </c>
      <c r="Z23" s="10" t="s">
        <v>193</v>
      </c>
      <c r="AA23" s="10" t="s">
        <v>201</v>
      </c>
      <c r="AB23" s="10" t="s">
        <v>201</v>
      </c>
      <c r="AC23" s="10" t="s">
        <v>201</v>
      </c>
      <c r="AD23" s="10" t="s">
        <v>201</v>
      </c>
      <c r="AE23" s="10" t="s">
        <v>201</v>
      </c>
      <c r="AF23" s="10" t="s">
        <v>202</v>
      </c>
      <c r="AG23" s="10" t="s">
        <v>202</v>
      </c>
      <c r="AH23" s="10" t="s">
        <v>203</v>
      </c>
      <c r="AI23" s="10" t="s">
        <v>203</v>
      </c>
      <c r="AJ23" s="10" t="s">
        <v>203</v>
      </c>
      <c r="AK23" s="10" t="s">
        <v>203</v>
      </c>
      <c r="AL23" s="10" t="s">
        <v>204</v>
      </c>
      <c r="AM23" s="10" t="s">
        <v>205</v>
      </c>
      <c r="AN23" s="10" t="s">
        <v>205</v>
      </c>
      <c r="AO23" s="25" t="s">
        <v>206</v>
      </c>
      <c r="AP23" s="10"/>
      <c r="AQ23" s="7"/>
    </row>
    <row r="24" spans="1:53" x14ac:dyDescent="0.25">
      <c r="A24" s="7">
        <v>2023</v>
      </c>
      <c r="B24" s="88">
        <v>0</v>
      </c>
      <c r="C24" s="82">
        <v>0.9</v>
      </c>
      <c r="D24" s="82">
        <v>350</v>
      </c>
      <c r="E24" s="82">
        <v>53</v>
      </c>
      <c r="F24" s="82">
        <v>350</v>
      </c>
      <c r="G24" s="82">
        <v>41</v>
      </c>
      <c r="H24" s="90">
        <v>0.03</v>
      </c>
      <c r="I24" s="90">
        <v>1</v>
      </c>
      <c r="J24" s="90">
        <v>1</v>
      </c>
      <c r="K24" s="92">
        <v>27.675160640969352</v>
      </c>
      <c r="L24" s="93">
        <v>0</v>
      </c>
      <c r="M24" s="18"/>
      <c r="N24" s="7">
        <v>2023</v>
      </c>
      <c r="O24" s="34">
        <f>Constants!O6*Constants!B6-B24</f>
        <v>0</v>
      </c>
      <c r="P24" s="9">
        <f t="shared" ref="P24:P36" si="24">(D24*0.01+0.5)*I24+(F24*0.01+0.5)*(1-I24)</f>
        <v>4</v>
      </c>
      <c r="Q24" s="9">
        <f t="shared" ref="Q24:Q36" si="25">(E24*0.01+0.3)*J24+(G24*0.01+0.3)*(1-J24)</f>
        <v>0.83000000000000007</v>
      </c>
      <c r="R24" s="9">
        <f t="shared" ref="R24:R36" si="26">Q24+0.2*H24</f>
        <v>0.83600000000000008</v>
      </c>
      <c r="S24" s="9">
        <f>IF(P24&gt;4,4,P24)</f>
        <v>4</v>
      </c>
      <c r="T24" s="9">
        <f t="shared" ref="T24:T36" si="27">IF(H24=0,IF(R24&gt;1.1,1.1,R24),IF(R24&gt;1.3,1.3,R24))</f>
        <v>0.83600000000000008</v>
      </c>
      <c r="U24" s="41">
        <f t="shared" ref="U24:U36" si="28">S24*K24</f>
        <v>110.70064256387741</v>
      </c>
      <c r="V24" s="41">
        <f t="shared" ref="V24:V36" si="29">T24*L24</f>
        <v>0</v>
      </c>
      <c r="W24" s="41">
        <f>IF(O24&gt;0,IF('Anticipated Compliance'!V24/'Anticipated Compliance'!O24&gt;C24,'Anticipated Compliance'!O24*C24,'Anticipated Compliance'!V24),0)</f>
        <v>0</v>
      </c>
      <c r="X24" s="41">
        <f>V24-W24</f>
        <v>0</v>
      </c>
      <c r="Y24" s="41">
        <f t="shared" ref="Y24:Y36" si="30">U24-(O24-W24)</f>
        <v>110.70064256387741</v>
      </c>
      <c r="Z24" s="41">
        <f>X24+Y24</f>
        <v>110.70064256387741</v>
      </c>
      <c r="AA24" s="9">
        <f>(Constants!Q6*I24*Constants!F6*K24*0.000001)</f>
        <v>56.332789484693116</v>
      </c>
      <c r="AB24" s="9">
        <f>(Constants!Q6*(1-I24)*Constants!G6*K24*0.000001)</f>
        <v>0</v>
      </c>
      <c r="AC24" s="9">
        <f>(Constants!Q6*Constants!R6*J24*Constants!F6*L24*0.000001)</f>
        <v>0</v>
      </c>
      <c r="AD24" s="9">
        <f>(Constants!Q6*Constants!R6*(1-J24)*Constants!G6*L24*0.000001)</f>
        <v>0</v>
      </c>
      <c r="AE24" s="28">
        <f>AA24+AB24+AC24+AD24</f>
        <v>56.332789484693116</v>
      </c>
      <c r="AF24" s="33">
        <f>Constants!Q6*Constants!H6*(K24+L24)/1000000</f>
        <v>2.0050653884382295E-2</v>
      </c>
      <c r="AG24" s="43">
        <f>AF24</f>
        <v>2.0050653884382295E-2</v>
      </c>
      <c r="AH24" s="9">
        <f>Constants!Q6/Constants!L6*('Anticipated Compliance'!K24*I24)</f>
        <v>107886.21944784663</v>
      </c>
      <c r="AI24" s="9">
        <f>(Constants!Q6*Constants!R6)/Constants!L6*('Anticipated Compliance'!L24*J24)</f>
        <v>0</v>
      </c>
      <c r="AJ24" s="9">
        <f>Constants!Q6/Constants!M6*'Anticipated Compliance'!K24*(1-I24)</f>
        <v>0</v>
      </c>
      <c r="AK24" s="9">
        <f>(Constants!Q6*Constants!R6)/Constants!M6*'Anticipated Compliance'!L24*(1-J24)</f>
        <v>0</v>
      </c>
      <c r="AL24" s="9">
        <f>(AH24+AI24+AJ24+AK24)*0.001</f>
        <v>107.88621944784663</v>
      </c>
      <c r="AM24" s="28">
        <f>(AL24*Constants!I6*Constants!K6+'Anticipated Compliance'!AL24*(1-Constants!I6)*Constants!J6)*0.000453592</f>
        <v>34.79203787554809</v>
      </c>
      <c r="AN24" s="33">
        <f t="shared" ref="AN24:AN36" si="31">AE24-AM24</f>
        <v>21.540751609145026</v>
      </c>
      <c r="AO24" s="48">
        <f>AN24</f>
        <v>21.540751609145026</v>
      </c>
      <c r="AQ24" s="7"/>
    </row>
    <row r="25" spans="1:53" x14ac:dyDescent="0.25">
      <c r="A25" s="7">
        <v>2024</v>
      </c>
      <c r="B25" s="88">
        <v>0</v>
      </c>
      <c r="C25" s="82">
        <v>0.9</v>
      </c>
      <c r="D25" s="82">
        <v>350</v>
      </c>
      <c r="E25" s="82">
        <v>57</v>
      </c>
      <c r="F25" s="82">
        <v>350</v>
      </c>
      <c r="G25" s="82">
        <v>44</v>
      </c>
      <c r="H25" s="90">
        <v>0.03</v>
      </c>
      <c r="I25" s="90">
        <v>1</v>
      </c>
      <c r="J25" s="90">
        <v>1</v>
      </c>
      <c r="K25" s="92">
        <v>44.71289431695277</v>
      </c>
      <c r="L25" s="93">
        <v>0</v>
      </c>
      <c r="M25" s="18"/>
      <c r="N25" s="7">
        <v>2024</v>
      </c>
      <c r="O25" s="34">
        <f>Constants!O7*Constants!B7-B25</f>
        <v>0</v>
      </c>
      <c r="P25" s="9">
        <f t="shared" si="24"/>
        <v>4</v>
      </c>
      <c r="Q25" s="9">
        <f t="shared" si="25"/>
        <v>0.87000000000000011</v>
      </c>
      <c r="R25" s="9">
        <f t="shared" si="26"/>
        <v>0.87600000000000011</v>
      </c>
      <c r="S25" s="9">
        <f t="shared" ref="S25:S36" si="32">IF(P25&gt;4,4,P25)</f>
        <v>4</v>
      </c>
      <c r="T25" s="9">
        <f t="shared" si="27"/>
        <v>0.87600000000000011</v>
      </c>
      <c r="U25" s="41">
        <f t="shared" si="28"/>
        <v>178.85157726781108</v>
      </c>
      <c r="V25" s="41">
        <f t="shared" si="29"/>
        <v>0</v>
      </c>
      <c r="W25" s="41">
        <f>IF(O25&gt;0,IF('Anticipated Compliance'!V25/'Anticipated Compliance'!O25&gt;C25,'Anticipated Compliance'!O25*C25,'Anticipated Compliance'!V25),0)</f>
        <v>0</v>
      </c>
      <c r="X25" s="41">
        <f t="shared" ref="X25:X36" si="33">V25-W25</f>
        <v>0</v>
      </c>
      <c r="Y25" s="41">
        <f t="shared" si="30"/>
        <v>178.85157726781108</v>
      </c>
      <c r="Z25" s="41">
        <f>Z24+X25+Y25</f>
        <v>289.55221983168849</v>
      </c>
      <c r="AA25" s="9">
        <f>(Constants!Q7*I25*Constants!F7*K25*0.000001)</f>
        <v>89.470501528222485</v>
      </c>
      <c r="AB25" s="9">
        <f>(Constants!Q7*(1-I25)*Constants!G7*K25*0.000001)</f>
        <v>0</v>
      </c>
      <c r="AC25" s="9">
        <f>(Constants!Q7*Constants!R7*J25*Constants!F7*L25*0.000001)</f>
        <v>0</v>
      </c>
      <c r="AD25" s="9">
        <f>(Constants!Q7*Constants!R7*(1-J25)*Constants!G7*L25*0.000001)</f>
        <v>0</v>
      </c>
      <c r="AE25" s="28">
        <f t="shared" ref="AE25:AE36" si="34">AA25+AB25+AC25+AD25</f>
        <v>89.470501528222485</v>
      </c>
      <c r="AF25" s="33">
        <f>Constants!Q7*Constants!H7*(K25+L25)/1000000</f>
        <v>2.9309302224762541E-2</v>
      </c>
      <c r="AG25" s="43">
        <f>AG24+AF25</f>
        <v>4.9359956109144836E-2</v>
      </c>
      <c r="AH25" s="9">
        <f>Constants!Q7/Constants!L7*('Anticipated Compliance'!K25*I25)</f>
        <v>174304.5032694769</v>
      </c>
      <c r="AI25" s="9">
        <f>(Constants!Q7*Constants!R7)/Constants!L7*('Anticipated Compliance'!L25*J25)</f>
        <v>0</v>
      </c>
      <c r="AJ25" s="9">
        <f>Constants!Q7/Constants!M7*'Anticipated Compliance'!K25*(1-I25)</f>
        <v>0</v>
      </c>
      <c r="AK25" s="9">
        <f>(Constants!Q7*Constants!R7)/Constants!M7*'Anticipated Compliance'!L25*(1-J25)</f>
        <v>0</v>
      </c>
      <c r="AL25" s="9">
        <f t="shared" ref="AL25:AL36" si="35">(AH25+AI25+AJ25+AK25)*0.001</f>
        <v>174.3045032694769</v>
      </c>
      <c r="AM25" s="28">
        <f>(AL25*Constants!I7*Constants!K7+'Anticipated Compliance'!AL25*(1-Constants!I7)*Constants!J7)*0.000453592</f>
        <v>54.357801974017903</v>
      </c>
      <c r="AN25" s="33">
        <f t="shared" si="31"/>
        <v>35.112699554204582</v>
      </c>
      <c r="AO25" s="48">
        <f>AN25+AO24</f>
        <v>56.653451163349608</v>
      </c>
      <c r="AQ25" s="7"/>
    </row>
    <row r="26" spans="1:53" x14ac:dyDescent="0.25">
      <c r="A26" s="7">
        <v>2025</v>
      </c>
      <c r="B26" s="88">
        <v>0</v>
      </c>
      <c r="C26" s="82">
        <v>0.9</v>
      </c>
      <c r="D26" s="82">
        <v>350</v>
      </c>
      <c r="E26" s="82">
        <v>60</v>
      </c>
      <c r="F26" s="82">
        <v>350</v>
      </c>
      <c r="G26" s="82">
        <v>47</v>
      </c>
      <c r="H26" s="90">
        <v>0.03</v>
      </c>
      <c r="I26" s="90">
        <v>1</v>
      </c>
      <c r="J26" s="90">
        <v>1</v>
      </c>
      <c r="K26" s="92">
        <v>63.746521806142937</v>
      </c>
      <c r="L26" s="93">
        <v>2248.6230178407059</v>
      </c>
      <c r="M26" s="18"/>
      <c r="N26" s="7">
        <v>2025</v>
      </c>
      <c r="O26" s="34">
        <f>Constants!O8*Constants!B8-B26</f>
        <v>2263.6138379596437</v>
      </c>
      <c r="P26" s="9">
        <f t="shared" si="24"/>
        <v>4</v>
      </c>
      <c r="Q26" s="9">
        <f t="shared" si="25"/>
        <v>0.89999999999999991</v>
      </c>
      <c r="R26" s="9">
        <f t="shared" si="26"/>
        <v>0.90599999999999992</v>
      </c>
      <c r="S26" s="9">
        <f t="shared" si="32"/>
        <v>4</v>
      </c>
      <c r="T26" s="9">
        <f t="shared" si="27"/>
        <v>0.90599999999999992</v>
      </c>
      <c r="U26" s="41">
        <f t="shared" si="28"/>
        <v>254.98608722457175</v>
      </c>
      <c r="V26" s="41">
        <f t="shared" si="29"/>
        <v>2037.2524541636794</v>
      </c>
      <c r="W26" s="41">
        <f>IF(O26&gt;0,IF('Anticipated Compliance'!V26/'Anticipated Compliance'!O26&gt;C26,'Anticipated Compliance'!O26*C26,'Anticipated Compliance'!V26),0)</f>
        <v>2037.2524541636794</v>
      </c>
      <c r="X26" s="41">
        <f t="shared" si="33"/>
        <v>0</v>
      </c>
      <c r="Y26" s="41">
        <f t="shared" si="30"/>
        <v>28.624703428607518</v>
      </c>
      <c r="Z26" s="41">
        <f t="shared" ref="Z26:Z36" si="36">Z25+X26+Y26</f>
        <v>318.17692326029601</v>
      </c>
      <c r="AA26" s="9">
        <f>(Constants!Q8*I26*Constants!F8*K26*0.000001)</f>
        <v>125.35753513178008</v>
      </c>
      <c r="AB26" s="9">
        <f>(Constants!Q8*(1-I26)*Constants!G8*K26*0.000001)</f>
        <v>0</v>
      </c>
      <c r="AC26" s="9">
        <f>(Constants!Q8*Constants!R8*J26*Constants!F8*L26*0.000001)</f>
        <v>3316.4378734378106</v>
      </c>
      <c r="AD26" s="9">
        <f>(Constants!Q8*Constants!R8*(1-J26)*Constants!G8*L26*0.000001)</f>
        <v>0</v>
      </c>
      <c r="AE26" s="28">
        <f t="shared" si="34"/>
        <v>3441.7954085695906</v>
      </c>
      <c r="AF26" s="33">
        <f>Constants!Q8*Constants!H8*(K26+L26)/1000000</f>
        <v>1.3296124852969382</v>
      </c>
      <c r="AG26" s="43">
        <f t="shared" ref="AG26:AG36" si="37">AG25+AF26</f>
        <v>1.3789724414060831</v>
      </c>
      <c r="AH26" s="9">
        <f>Constants!Q8/Constants!L8*('Anticipated Compliance'!K26*I26)</f>
        <v>248503.39009174364</v>
      </c>
      <c r="AI26" s="9">
        <f>(Constants!Q8*Constants!R8)/Constants!L8*('Anticipated Compliance'!L26*J26)</f>
        <v>6574363.9080935884</v>
      </c>
      <c r="AJ26" s="9">
        <f>Constants!Q8/Constants!M8*'Anticipated Compliance'!K26*(1-I26)</f>
        <v>0</v>
      </c>
      <c r="AK26" s="9">
        <f>(Constants!Q8*Constants!R8)/Constants!M8*'Anticipated Compliance'!L26*(1-J26)</f>
        <v>0</v>
      </c>
      <c r="AL26" s="9">
        <f t="shared" si="35"/>
        <v>6822.8672981853315</v>
      </c>
      <c r="AM26" s="28">
        <f>(AL26*Constants!I8*Constants!K8+'Anticipated Compliance'!AL26*(1-Constants!I8)*Constants!J8)*0.000453592</f>
        <v>2083.7292542058844</v>
      </c>
      <c r="AN26" s="33">
        <f t="shared" si="31"/>
        <v>1358.0661543637061</v>
      </c>
      <c r="AO26" s="48">
        <f t="shared" ref="AO26:AO36" si="38">AN26+AO25</f>
        <v>1414.7196055270558</v>
      </c>
      <c r="AQ26" s="7"/>
    </row>
    <row r="27" spans="1:53" x14ac:dyDescent="0.25">
      <c r="A27" s="7">
        <v>2026</v>
      </c>
      <c r="B27" s="88">
        <v>0</v>
      </c>
      <c r="C27" s="82">
        <v>0.9</v>
      </c>
      <c r="D27" s="82">
        <v>350</v>
      </c>
      <c r="E27" s="82">
        <v>64</v>
      </c>
      <c r="F27" s="82">
        <v>350</v>
      </c>
      <c r="G27" s="82">
        <v>50</v>
      </c>
      <c r="H27" s="90">
        <v>0.03</v>
      </c>
      <c r="I27" s="90">
        <v>1</v>
      </c>
      <c r="J27" s="90">
        <v>1</v>
      </c>
      <c r="K27" s="92">
        <v>191.22403467099002</v>
      </c>
      <c r="L27" s="93">
        <v>2203.4580994517205</v>
      </c>
      <c r="M27" s="18"/>
      <c r="N27" s="7">
        <v>2026</v>
      </c>
      <c r="O27" s="34">
        <f>Constants!O9*Constants!B9-B27</f>
        <v>2316.0792912014749</v>
      </c>
      <c r="P27" s="9">
        <f t="shared" si="24"/>
        <v>4</v>
      </c>
      <c r="Q27" s="9">
        <f t="shared" si="25"/>
        <v>0.94</v>
      </c>
      <c r="R27" s="9">
        <f t="shared" si="26"/>
        <v>0.94599999999999995</v>
      </c>
      <c r="S27" s="9">
        <f t="shared" si="32"/>
        <v>4</v>
      </c>
      <c r="T27" s="9">
        <f t="shared" si="27"/>
        <v>0.94599999999999995</v>
      </c>
      <c r="U27" s="41">
        <f t="shared" si="28"/>
        <v>764.89613868396009</v>
      </c>
      <c r="V27" s="41">
        <f t="shared" si="29"/>
        <v>2084.4713620813277</v>
      </c>
      <c r="W27" s="41">
        <f>IF(O27&gt;0,IF('Anticipated Compliance'!V27/'Anticipated Compliance'!O27&gt;C27,'Anticipated Compliance'!O27*C27,'Anticipated Compliance'!V27),0)</f>
        <v>2084.4713620813277</v>
      </c>
      <c r="X27" s="41">
        <f t="shared" si="33"/>
        <v>0</v>
      </c>
      <c r="Y27" s="41">
        <f t="shared" si="30"/>
        <v>533.28820956381287</v>
      </c>
      <c r="Z27" s="41">
        <f t="shared" si="36"/>
        <v>851.46513282410888</v>
      </c>
      <c r="AA27" s="9">
        <f>(Constants!Q9*I27*Constants!F9*K27*0.000001)</f>
        <v>369.44483498435267</v>
      </c>
      <c r="AB27" s="9">
        <f>(Constants!Q9*(1-I27)*Constants!G9*K27*0.000001)</f>
        <v>0</v>
      </c>
      <c r="AC27" s="9">
        <f>(Constants!Q9*Constants!R9*J27*Constants!F9*L27*0.000001)</f>
        <v>3192.8107861055428</v>
      </c>
      <c r="AD27" s="9">
        <f>(Constants!Q9*Constants!R9*(1-J27)*Constants!G9*L27*0.000001)</f>
        <v>0</v>
      </c>
      <c r="AE27" s="28">
        <f t="shared" si="34"/>
        <v>3562.2556210898956</v>
      </c>
      <c r="AF27" s="33">
        <f>Constants!Q9*Constants!H9*(K27+L27)/1000000</f>
        <v>1.3769422271205585</v>
      </c>
      <c r="AG27" s="43">
        <f t="shared" si="37"/>
        <v>2.7559146685266418</v>
      </c>
      <c r="AH27" s="9">
        <f>Constants!Q9/Constants!L9*('Anticipated Compliance'!K27*I27)</f>
        <v>745449.62668352039</v>
      </c>
      <c r="AI27" s="9">
        <f>(Constants!Q9*Constants!R9)/Constants!L9*('Anticipated Compliance'!L27*J27)</f>
        <v>6442313.934837657</v>
      </c>
      <c r="AJ27" s="9">
        <f>Constants!Q9/Constants!M9*'Anticipated Compliance'!K27*(1-I27)</f>
        <v>0</v>
      </c>
      <c r="AK27" s="9">
        <f>(Constants!Q9*Constants!R9)/Constants!M9*'Anticipated Compliance'!L27*(1-J27)</f>
        <v>0</v>
      </c>
      <c r="AL27" s="9">
        <f t="shared" si="35"/>
        <v>7187.7635615211775</v>
      </c>
      <c r="AM27" s="28">
        <f>(AL27*Constants!I9*Constants!K9+'Anticipated Compliance'!AL27*(1-Constants!I9)*Constants!J9)*0.000453592</f>
        <v>2187.2096466356861</v>
      </c>
      <c r="AN27" s="33">
        <f t="shared" si="31"/>
        <v>1375.0459744542095</v>
      </c>
      <c r="AO27" s="48">
        <f t="shared" si="38"/>
        <v>2789.7655799812655</v>
      </c>
      <c r="AQ27" s="7"/>
    </row>
    <row r="28" spans="1:53" x14ac:dyDescent="0.25">
      <c r="A28" s="7">
        <v>2027</v>
      </c>
      <c r="B28" s="88">
        <v>0</v>
      </c>
      <c r="C28" s="82">
        <v>0.9</v>
      </c>
      <c r="D28" s="82">
        <v>350</v>
      </c>
      <c r="E28" s="82">
        <v>68</v>
      </c>
      <c r="F28" s="82">
        <v>350</v>
      </c>
      <c r="G28" s="82">
        <v>52</v>
      </c>
      <c r="H28" s="90">
        <v>0.03</v>
      </c>
      <c r="I28" s="90">
        <v>1</v>
      </c>
      <c r="J28" s="90">
        <v>1</v>
      </c>
      <c r="K28" s="92">
        <v>191.49814836325777</v>
      </c>
      <c r="L28" s="93">
        <v>2117.1094551416231</v>
      </c>
      <c r="M28" s="18"/>
      <c r="N28" s="7">
        <v>2027</v>
      </c>
      <c r="O28" s="34">
        <f>Constants!O10*Constants!B10-B28</f>
        <v>2319.4110252996006</v>
      </c>
      <c r="P28" s="9">
        <f t="shared" si="24"/>
        <v>4</v>
      </c>
      <c r="Q28" s="9">
        <f t="shared" si="25"/>
        <v>0.98</v>
      </c>
      <c r="R28" s="9">
        <f t="shared" si="26"/>
        <v>0.98599999999999999</v>
      </c>
      <c r="S28" s="9">
        <f t="shared" si="32"/>
        <v>4</v>
      </c>
      <c r="T28" s="9">
        <f t="shared" si="27"/>
        <v>0.98599999999999999</v>
      </c>
      <c r="U28" s="41">
        <f t="shared" si="28"/>
        <v>765.99259345303108</v>
      </c>
      <c r="V28" s="41">
        <f t="shared" si="29"/>
        <v>2087.4699227696406</v>
      </c>
      <c r="W28" s="41">
        <f>IF(O28&gt;0,IF('Anticipated Compliance'!V28/'Anticipated Compliance'!O28&gt;C28,'Anticipated Compliance'!O28*C28,'Anticipated Compliance'!V28),0)</f>
        <v>2087.4699227696406</v>
      </c>
      <c r="X28" s="41">
        <f t="shared" si="33"/>
        <v>0</v>
      </c>
      <c r="Y28" s="41">
        <f t="shared" si="30"/>
        <v>534.05149092307101</v>
      </c>
      <c r="Z28" s="41">
        <f t="shared" si="36"/>
        <v>1385.5166237471799</v>
      </c>
      <c r="AA28" s="9">
        <f>(Constants!Q10*I28*Constants!F10*K28*0.000001)</f>
        <v>369.97442263781397</v>
      </c>
      <c r="AB28" s="9">
        <f>(Constants!Q10*(1-I28)*Constants!G10*K28*0.000001)</f>
        <v>0</v>
      </c>
      <c r="AC28" s="9">
        <f>(Constants!Q10*Constants!R10*J28*Constants!F10*L28*0.000001)</f>
        <v>3067.6916005002117</v>
      </c>
      <c r="AD28" s="9">
        <f>(Constants!Q10*Constants!R10*(1-J28)*Constants!G10*L28*0.000001)</f>
        <v>0</v>
      </c>
      <c r="AE28" s="28">
        <f t="shared" si="34"/>
        <v>3437.6660231380256</v>
      </c>
      <c r="AF28" s="33">
        <f>Constants!Q10*Constants!H10*(K28+L28)/1000000</f>
        <v>1.3274493720153064</v>
      </c>
      <c r="AG28" s="43">
        <f t="shared" si="37"/>
        <v>4.083364040541948</v>
      </c>
      <c r="AH28" s="9">
        <f>Constants!Q10/Constants!L10*('Anticipated Compliance'!K28*I28)</f>
        <v>746518.20548388618</v>
      </c>
      <c r="AI28" s="9">
        <f>(Constants!Q10*Constants!R10)/Constants!L10*('Anticipated Compliance'!L28*J28)</f>
        <v>6189853.9154564394</v>
      </c>
      <c r="AJ28" s="9">
        <f>Constants!Q10/Constants!M10*'Anticipated Compliance'!K28*(1-I28)</f>
        <v>0</v>
      </c>
      <c r="AK28" s="9">
        <f>(Constants!Q10*Constants!R10)/Constants!M10*'Anticipated Compliance'!L28*(1-J28)</f>
        <v>0</v>
      </c>
      <c r="AL28" s="9">
        <f t="shared" si="35"/>
        <v>6936.3721209403257</v>
      </c>
      <c r="AM28" s="28">
        <f>(AL28*Constants!I10*Constants!K10+'Anticipated Compliance'!AL28*(1-Constants!I10)*Constants!J10)*0.000453592</f>
        <v>2046.515013644336</v>
      </c>
      <c r="AN28" s="33">
        <f t="shared" si="31"/>
        <v>1391.1510094936896</v>
      </c>
      <c r="AO28" s="48">
        <f t="shared" si="38"/>
        <v>4180.9165894749549</v>
      </c>
      <c r="AQ28" s="7"/>
    </row>
    <row r="29" spans="1:53" x14ac:dyDescent="0.25">
      <c r="A29" s="7">
        <v>2028</v>
      </c>
      <c r="B29" s="88">
        <v>0</v>
      </c>
      <c r="C29" s="82">
        <v>0.9</v>
      </c>
      <c r="D29" s="82">
        <v>350</v>
      </c>
      <c r="E29" s="82">
        <v>71</v>
      </c>
      <c r="F29" s="82">
        <v>350</v>
      </c>
      <c r="G29" s="82">
        <v>55</v>
      </c>
      <c r="H29" s="90">
        <v>0.03</v>
      </c>
      <c r="I29" s="90">
        <v>1</v>
      </c>
      <c r="J29" s="90">
        <v>1</v>
      </c>
      <c r="K29" s="92">
        <v>189.68314626595884</v>
      </c>
      <c r="L29" s="93">
        <v>2035.1971282384641</v>
      </c>
      <c r="M29" s="18"/>
      <c r="N29" s="7">
        <v>2028</v>
      </c>
      <c r="O29" s="34">
        <f>Constants!O11*Constants!B11-B29</f>
        <v>2297.5114247669771</v>
      </c>
      <c r="P29" s="9">
        <f t="shared" si="24"/>
        <v>4</v>
      </c>
      <c r="Q29" s="9">
        <f t="shared" si="25"/>
        <v>1.01</v>
      </c>
      <c r="R29" s="9">
        <f t="shared" si="26"/>
        <v>1.016</v>
      </c>
      <c r="S29" s="9">
        <f t="shared" si="32"/>
        <v>4</v>
      </c>
      <c r="T29" s="9">
        <f t="shared" si="27"/>
        <v>1.016</v>
      </c>
      <c r="U29" s="41">
        <f t="shared" si="28"/>
        <v>758.73258506383536</v>
      </c>
      <c r="V29" s="41">
        <f t="shared" si="29"/>
        <v>2067.7602822902795</v>
      </c>
      <c r="W29" s="41">
        <f>IF(O29&gt;0,IF('Anticipated Compliance'!V29/'Anticipated Compliance'!O29&gt;C29,'Anticipated Compliance'!O29*C29,'Anticipated Compliance'!V29),0)</f>
        <v>2067.7602822902795</v>
      </c>
      <c r="X29" s="41">
        <f t="shared" si="33"/>
        <v>0</v>
      </c>
      <c r="Y29" s="41">
        <f t="shared" si="30"/>
        <v>528.98144258713774</v>
      </c>
      <c r="Z29" s="41">
        <f t="shared" si="36"/>
        <v>1914.4980663343176</v>
      </c>
      <c r="AA29" s="9">
        <f>(Constants!Q11*I29*Constants!F11*K29*0.000001)</f>
        <v>366.46783858583245</v>
      </c>
      <c r="AB29" s="9">
        <f>(Constants!Q11*(1-I29)*Constants!G11*K29*0.000001)</f>
        <v>0</v>
      </c>
      <c r="AC29" s="9">
        <f>(Constants!Q11*Constants!R11*J29*Constants!F11*L29*0.000001)</f>
        <v>2949.0006388175343</v>
      </c>
      <c r="AD29" s="9">
        <f>(Constants!Q11*Constants!R11*(1-J29)*Constants!G11*L29*0.000001)</f>
        <v>0</v>
      </c>
      <c r="AE29" s="28">
        <f t="shared" si="34"/>
        <v>3315.4684774033667</v>
      </c>
      <c r="AF29" s="33">
        <f>Constants!Q11*Constants!H11*(K29+L29)/1000000</f>
        <v>1.2793061578400433</v>
      </c>
      <c r="AG29" s="43">
        <f t="shared" si="37"/>
        <v>5.3626701983819913</v>
      </c>
      <c r="AH29" s="9">
        <f>Constants!Q11/Constants!L11*('Anticipated Compliance'!K29*I29)</f>
        <v>739442.7735791615</v>
      </c>
      <c r="AI29" s="9">
        <f>(Constants!Q11*Constants!R11)/Constants!L11*('Anticipated Compliance'!L29*J29)</f>
        <v>5950364.4851039834</v>
      </c>
      <c r="AJ29" s="9">
        <f>Constants!Q11/Constants!M11*'Anticipated Compliance'!K29*(1-I29)</f>
        <v>0</v>
      </c>
      <c r="AK29" s="9">
        <f>(Constants!Q11*Constants!R11)/Constants!M11*'Anticipated Compliance'!L29*(1-J29)</f>
        <v>0</v>
      </c>
      <c r="AL29" s="9">
        <f t="shared" si="35"/>
        <v>6689.8072586831449</v>
      </c>
      <c r="AM29" s="28">
        <f>(AL29*Constants!I11*Constants!K11+'Anticipated Compliance'!AL29*(1-Constants!I11)*Constants!J11)*0.000453592</f>
        <v>1912.6390861597056</v>
      </c>
      <c r="AN29" s="33">
        <f t="shared" si="31"/>
        <v>1402.8293912436611</v>
      </c>
      <c r="AO29" s="48">
        <f t="shared" si="38"/>
        <v>5583.745980718616</v>
      </c>
      <c r="AQ29" s="7"/>
    </row>
    <row r="30" spans="1:53" x14ac:dyDescent="0.25">
      <c r="A30" s="7">
        <v>2029</v>
      </c>
      <c r="B30" s="88">
        <v>0</v>
      </c>
      <c r="C30" s="82">
        <v>0.9</v>
      </c>
      <c r="D30" s="82">
        <v>350</v>
      </c>
      <c r="E30" s="82">
        <v>75</v>
      </c>
      <c r="F30" s="82">
        <v>350</v>
      </c>
      <c r="G30" s="82">
        <v>58</v>
      </c>
      <c r="H30" s="90">
        <v>0.03</v>
      </c>
      <c r="I30" s="90">
        <v>1</v>
      </c>
      <c r="J30" s="90">
        <v>1</v>
      </c>
      <c r="K30" s="92">
        <v>191.19758267670341</v>
      </c>
      <c r="L30" s="93">
        <v>1973.7238315113646</v>
      </c>
      <c r="M30" s="18"/>
      <c r="N30" s="7">
        <v>2029</v>
      </c>
      <c r="O30" s="34">
        <f>Constants!O12*Constants!B12-B30</f>
        <v>2315.8359623066681</v>
      </c>
      <c r="P30" s="9">
        <f t="shared" si="24"/>
        <v>4</v>
      </c>
      <c r="Q30" s="9">
        <f t="shared" si="25"/>
        <v>1.05</v>
      </c>
      <c r="R30" s="9">
        <f t="shared" si="26"/>
        <v>1.056</v>
      </c>
      <c r="S30" s="9">
        <f t="shared" si="32"/>
        <v>4</v>
      </c>
      <c r="T30" s="9">
        <f t="shared" si="27"/>
        <v>1.056</v>
      </c>
      <c r="U30" s="41">
        <f t="shared" si="28"/>
        <v>764.79033070681362</v>
      </c>
      <c r="V30" s="41">
        <f t="shared" si="29"/>
        <v>2084.2523660760012</v>
      </c>
      <c r="W30" s="41">
        <f>IF(O30&gt;0,IF('Anticipated Compliance'!V30/'Anticipated Compliance'!O30&gt;C30,'Anticipated Compliance'!O30*C30,'Anticipated Compliance'!V30),0)</f>
        <v>2084.2523660760012</v>
      </c>
      <c r="X30" s="41">
        <f t="shared" si="33"/>
        <v>0</v>
      </c>
      <c r="Y30" s="41">
        <f t="shared" si="30"/>
        <v>533.20673447614672</v>
      </c>
      <c r="Z30" s="41">
        <f t="shared" si="36"/>
        <v>2447.7048008104643</v>
      </c>
      <c r="AA30" s="9">
        <f>(Constants!Q12*I30*Constants!F12*K30*0.000001)</f>
        <v>369.39372973139092</v>
      </c>
      <c r="AB30" s="9">
        <f>(Constants!Q12*(1-I30)*Constants!G12*K30*0.000001)</f>
        <v>0</v>
      </c>
      <c r="AC30" s="9">
        <f>(Constants!Q12*Constants!R12*J30*Constants!F12*L30*0.000001)</f>
        <v>2859.9258318599673</v>
      </c>
      <c r="AD30" s="9">
        <f>(Constants!Q12*Constants!R12*(1-J30)*Constants!G12*L30*0.000001)</f>
        <v>0</v>
      </c>
      <c r="AE30" s="28">
        <f t="shared" si="34"/>
        <v>3229.3195615913583</v>
      </c>
      <c r="AF30" s="33">
        <f>Constants!Q12*Constants!H12*(K30+L30)/1000000</f>
        <v>1.2448298131581392</v>
      </c>
      <c r="AG30" s="43">
        <f t="shared" si="37"/>
        <v>6.6075000115401306</v>
      </c>
      <c r="AH30" s="9">
        <f>Constants!Q12/Constants!L12*('Anticipated Compliance'!K30*I30)</f>
        <v>745346.50873969123</v>
      </c>
      <c r="AI30" s="9">
        <f>(Constants!Q12*Constants!R12)/Constants!L12*('Anticipated Compliance'!L30*J30)</f>
        <v>5770633.2361984802</v>
      </c>
      <c r="AJ30" s="9">
        <f>Constants!Q12/Constants!M12*'Anticipated Compliance'!K30*(1-I30)</f>
        <v>0</v>
      </c>
      <c r="AK30" s="9">
        <f>(Constants!Q12*Constants!R12)/Constants!M12*'Anticipated Compliance'!L30*(1-J30)</f>
        <v>0</v>
      </c>
      <c r="AL30" s="9">
        <f t="shared" si="35"/>
        <v>6515.9797449381713</v>
      </c>
      <c r="AM30" s="28">
        <f>(AL30*Constants!I12*Constants!K12+'Anticipated Compliance'!AL30*(1-Constants!I12)*Constants!J12)*0.000453592</f>
        <v>1852.2869510038504</v>
      </c>
      <c r="AN30" s="33">
        <f t="shared" si="31"/>
        <v>1377.0326105875079</v>
      </c>
      <c r="AO30" s="48">
        <f t="shared" si="38"/>
        <v>6960.7785913061234</v>
      </c>
      <c r="AQ30" s="7"/>
    </row>
    <row r="31" spans="1:53" x14ac:dyDescent="0.25">
      <c r="A31" s="7">
        <v>2030</v>
      </c>
      <c r="B31" s="88">
        <v>0</v>
      </c>
      <c r="C31" s="82">
        <v>0.9</v>
      </c>
      <c r="D31" s="82">
        <v>350</v>
      </c>
      <c r="E31" s="82">
        <v>78</v>
      </c>
      <c r="F31" s="82">
        <v>350</v>
      </c>
      <c r="G31" s="82">
        <v>60</v>
      </c>
      <c r="H31" s="90">
        <v>0.03</v>
      </c>
      <c r="I31" s="90">
        <v>1</v>
      </c>
      <c r="J31" s="90">
        <v>1</v>
      </c>
      <c r="K31" s="92">
        <v>192.28721745994926</v>
      </c>
      <c r="L31" s="93">
        <v>1930.0593542085549</v>
      </c>
      <c r="M31" s="18"/>
      <c r="N31" s="7">
        <v>2030</v>
      </c>
      <c r="O31" s="34">
        <f>Constants!O13*Constants!B13-B31</f>
        <v>2328.9382874116563</v>
      </c>
      <c r="P31" s="9">
        <f t="shared" si="24"/>
        <v>4</v>
      </c>
      <c r="Q31" s="9">
        <f t="shared" si="25"/>
        <v>1.08</v>
      </c>
      <c r="R31" s="9">
        <f t="shared" si="26"/>
        <v>1.0860000000000001</v>
      </c>
      <c r="S31" s="9">
        <f t="shared" si="32"/>
        <v>4</v>
      </c>
      <c r="T31" s="9">
        <f t="shared" si="27"/>
        <v>1.0860000000000001</v>
      </c>
      <c r="U31" s="41">
        <f t="shared" si="28"/>
        <v>769.14886983979704</v>
      </c>
      <c r="V31" s="41">
        <f t="shared" si="29"/>
        <v>2096.0444586704907</v>
      </c>
      <c r="W31" s="41">
        <f>IF(O31&gt;0,IF('Anticipated Compliance'!V31/'Anticipated Compliance'!O31&gt;C31,'Anticipated Compliance'!O31*C31,'Anticipated Compliance'!V31),0)</f>
        <v>2096.0444586704907</v>
      </c>
      <c r="X31" s="41">
        <f t="shared" si="33"/>
        <v>0</v>
      </c>
      <c r="Y31" s="41">
        <f t="shared" si="30"/>
        <v>536.25504109863141</v>
      </c>
      <c r="Z31" s="41">
        <f t="shared" si="36"/>
        <v>2983.9598419090958</v>
      </c>
      <c r="AA31" s="9">
        <f>(Constants!Q13*I31*Constants!F13*K31*0.000001)</f>
        <v>371.49890413262193</v>
      </c>
      <c r="AB31" s="9">
        <f>(Constants!Q13*(1-I31)*Constants!G13*K31*0.000001)</f>
        <v>0</v>
      </c>
      <c r="AC31" s="9">
        <f>(Constants!Q13*Constants!R13*J31*Constants!F13*L31*0.000001)</f>
        <v>2796.656004248196</v>
      </c>
      <c r="AD31" s="9">
        <f>(Constants!Q13*Constants!R13*(1-J31)*Constants!G13*L31*0.000001)</f>
        <v>0</v>
      </c>
      <c r="AE31" s="28">
        <f t="shared" si="34"/>
        <v>3168.1549083808181</v>
      </c>
      <c r="AF31" s="33">
        <f>Constants!Q13*Constants!H13*(K31+L31)/1000000</f>
        <v>1.2203492787093899</v>
      </c>
      <c r="AG31" s="43">
        <f t="shared" si="37"/>
        <v>7.8278492902495209</v>
      </c>
      <c r="AH31" s="9">
        <f>Constants!Q13/Constants!L13*('Anticipated Compliance'!K31*I31)</f>
        <v>749594.23755573435</v>
      </c>
      <c r="AI31" s="9">
        <f>(Constants!Q13*Constants!R13)/Constants!L13*('Anticipated Compliance'!L31*J31)</f>
        <v>5642970.1457792483</v>
      </c>
      <c r="AJ31" s="9">
        <f>Constants!Q13/Constants!M13*'Anticipated Compliance'!K31*(1-I31)</f>
        <v>0</v>
      </c>
      <c r="AK31" s="9">
        <f>(Constants!Q13*Constants!R13)/Constants!M13*'Anticipated Compliance'!L31*(1-J31)</f>
        <v>0</v>
      </c>
      <c r="AL31" s="9">
        <f t="shared" si="35"/>
        <v>6392.5643833349832</v>
      </c>
      <c r="AM31" s="28">
        <f>(AL31*Constants!I13*Constants!K13+'Anticipated Compliance'!AL31*(1-Constants!I13)*Constants!J13)*0.000453592</f>
        <v>1770.9069957440329</v>
      </c>
      <c r="AN31" s="33">
        <f t="shared" si="31"/>
        <v>1397.2479126367853</v>
      </c>
      <c r="AO31" s="48">
        <f t="shared" si="38"/>
        <v>8358.0265039429087</v>
      </c>
      <c r="AQ31" s="7"/>
    </row>
    <row r="32" spans="1:53" x14ac:dyDescent="0.25">
      <c r="A32" s="7">
        <v>2031</v>
      </c>
      <c r="B32" s="88">
        <v>0</v>
      </c>
      <c r="C32" s="82">
        <v>0.9</v>
      </c>
      <c r="D32" s="82">
        <v>350</v>
      </c>
      <c r="E32" s="82">
        <v>80</v>
      </c>
      <c r="F32" s="82">
        <v>350</v>
      </c>
      <c r="G32" s="82">
        <v>63</v>
      </c>
      <c r="H32" s="90">
        <v>0.03</v>
      </c>
      <c r="I32" s="90">
        <v>1</v>
      </c>
      <c r="J32" s="90">
        <v>1</v>
      </c>
      <c r="K32" s="92">
        <v>1124.6192953437812</v>
      </c>
      <c r="L32" s="93">
        <v>1901.8138278650674</v>
      </c>
      <c r="M32" s="18"/>
      <c r="N32" s="7">
        <v>2031</v>
      </c>
      <c r="O32" s="34">
        <f>Constants!O14*Constants!B14-B32</f>
        <v>2337.1178817986274</v>
      </c>
      <c r="P32" s="9">
        <f t="shared" si="24"/>
        <v>4</v>
      </c>
      <c r="Q32" s="9">
        <f t="shared" si="25"/>
        <v>1.1000000000000001</v>
      </c>
      <c r="R32" s="9">
        <f t="shared" si="26"/>
        <v>1.1060000000000001</v>
      </c>
      <c r="S32" s="9">
        <f t="shared" si="32"/>
        <v>4</v>
      </c>
      <c r="T32" s="9">
        <f t="shared" si="27"/>
        <v>1.1060000000000001</v>
      </c>
      <c r="U32" s="41">
        <f t="shared" si="28"/>
        <v>4498.4771813751249</v>
      </c>
      <c r="V32" s="41">
        <f t="shared" si="29"/>
        <v>2103.4060936187648</v>
      </c>
      <c r="W32" s="41">
        <f>IF(O32&gt;0,IF('Anticipated Compliance'!V32/'Anticipated Compliance'!O32&gt;C32,'Anticipated Compliance'!O32*C32,'Anticipated Compliance'!V32),0)</f>
        <v>2103.4060936187648</v>
      </c>
      <c r="X32" s="41">
        <f t="shared" si="33"/>
        <v>0</v>
      </c>
      <c r="Y32" s="41">
        <f t="shared" si="30"/>
        <v>4264.7653931952627</v>
      </c>
      <c r="Z32" s="41">
        <f t="shared" si="36"/>
        <v>7248.7252351043589</v>
      </c>
      <c r="AA32" s="9">
        <f>(Constants!Q14*I32*Constants!F14*K32*0.000001)</f>
        <v>2172.7644786041851</v>
      </c>
      <c r="AB32" s="9">
        <f>(Constants!Q14*(1-I32)*Constants!G14*K32*0.000001)</f>
        <v>0</v>
      </c>
      <c r="AC32" s="9">
        <f>(Constants!Q14*Constants!R14*J32*Constants!F14*L32*0.000001)</f>
        <v>2755.7282365764827</v>
      </c>
      <c r="AD32" s="9">
        <f>(Constants!Q14*Constants!R14*(1-J32)*Constants!G14*L32*0.000001)</f>
        <v>0</v>
      </c>
      <c r="AE32" s="28">
        <f t="shared" si="34"/>
        <v>4928.4927151806678</v>
      </c>
      <c r="AF32" s="33">
        <f>Constants!Q14*Constants!H14*(K32+L32)/1000000</f>
        <v>1.740199045845088</v>
      </c>
      <c r="AG32" s="43">
        <f t="shared" si="37"/>
        <v>9.5680483360946091</v>
      </c>
      <c r="AH32" s="9">
        <f>Constants!Q14/Constants!L14*('Anticipated Compliance'!K32*I32)</f>
        <v>4384109.1174418591</v>
      </c>
      <c r="AI32" s="9">
        <f>(Constants!Q14*Constants!R14)/Constants!L14*('Anticipated Compliance'!L32*J32)</f>
        <v>5560387.8865546454</v>
      </c>
      <c r="AJ32" s="9">
        <f>Constants!Q14/Constants!M14*'Anticipated Compliance'!K32*(1-I32)</f>
        <v>0</v>
      </c>
      <c r="AK32" s="9">
        <f>(Constants!Q14*Constants!R14)/Constants!M14*'Anticipated Compliance'!L32*(1-J32)</f>
        <v>0</v>
      </c>
      <c r="AL32" s="9">
        <f t="shared" si="35"/>
        <v>9944.4970039965046</v>
      </c>
      <c r="AM32" s="28">
        <f>(AL32*Constants!I14*Constants!K14+'Anticipated Compliance'!AL32*(1-Constants!I14)*Constants!J14)*0.000453592</f>
        <v>2721.0454236735968</v>
      </c>
      <c r="AN32" s="33">
        <f t="shared" si="31"/>
        <v>2207.447291507071</v>
      </c>
      <c r="AO32" s="48">
        <f t="shared" si="38"/>
        <v>10565.47379544998</v>
      </c>
      <c r="AQ32" s="7"/>
    </row>
    <row r="33" spans="1:43" x14ac:dyDescent="0.25">
      <c r="A33" s="7">
        <v>2032</v>
      </c>
      <c r="B33" s="88">
        <v>0</v>
      </c>
      <c r="C33" s="82">
        <v>0.9</v>
      </c>
      <c r="D33" s="82">
        <v>350</v>
      </c>
      <c r="E33" s="82">
        <v>80</v>
      </c>
      <c r="F33" s="82">
        <v>350</v>
      </c>
      <c r="G33" s="82">
        <v>66</v>
      </c>
      <c r="H33" s="90">
        <v>0.03</v>
      </c>
      <c r="I33" s="90">
        <v>1</v>
      </c>
      <c r="J33" s="90">
        <v>1</v>
      </c>
      <c r="K33" s="92">
        <v>1134.0281233489723</v>
      </c>
      <c r="L33" s="93">
        <v>1917.7305635422072</v>
      </c>
      <c r="M33" s="18"/>
      <c r="N33" s="7">
        <v>2032</v>
      </c>
      <c r="O33" s="34">
        <f>Constants!O15*Constants!B15-B33</f>
        <v>2356.6777814196457</v>
      </c>
      <c r="P33" s="9">
        <f t="shared" si="24"/>
        <v>4</v>
      </c>
      <c r="Q33" s="9">
        <f t="shared" si="25"/>
        <v>1.1000000000000001</v>
      </c>
      <c r="R33" s="9">
        <f t="shared" si="26"/>
        <v>1.1060000000000001</v>
      </c>
      <c r="S33" s="9">
        <f t="shared" si="32"/>
        <v>4</v>
      </c>
      <c r="T33" s="9">
        <f t="shared" si="27"/>
        <v>1.1060000000000001</v>
      </c>
      <c r="U33" s="41">
        <f t="shared" si="28"/>
        <v>4536.112493395889</v>
      </c>
      <c r="V33" s="41">
        <f t="shared" si="29"/>
        <v>2121.0100032776813</v>
      </c>
      <c r="W33" s="41">
        <f>IF(O33&gt;0,IF('Anticipated Compliance'!V33/'Anticipated Compliance'!O33&gt;C33,'Anticipated Compliance'!O33*C33,'Anticipated Compliance'!V33),0)</f>
        <v>2121.0100032776813</v>
      </c>
      <c r="X33" s="41">
        <f t="shared" si="33"/>
        <v>0</v>
      </c>
      <c r="Y33" s="41">
        <f t="shared" si="30"/>
        <v>4300.4447152539251</v>
      </c>
      <c r="Z33" s="41">
        <f t="shared" si="36"/>
        <v>11549.169950358284</v>
      </c>
      <c r="AA33" s="9">
        <f>(Constants!Q15*I33*Constants!F15*K33*0.000001)</f>
        <v>2190.9423343102144</v>
      </c>
      <c r="AB33" s="9">
        <f>(Constants!Q15*(1-I33)*Constants!G15*K33*0.000001)</f>
        <v>0</v>
      </c>
      <c r="AC33" s="9">
        <f>(Constants!Q15*Constants!R15*J33*Constants!F15*L33*0.000001)</f>
        <v>2778.7915865726582</v>
      </c>
      <c r="AD33" s="9">
        <f>(Constants!Q15*Constants!R15*(1-J33)*Constants!G15*L33*0.000001)</f>
        <v>0</v>
      </c>
      <c r="AE33" s="28">
        <f t="shared" si="34"/>
        <v>4969.7339208828726</v>
      </c>
      <c r="AF33" s="33">
        <f>Constants!Q15*Constants!H15*(K33+L33)/1000000</f>
        <v>1.7547612449624281</v>
      </c>
      <c r="AG33" s="43">
        <f t="shared" si="37"/>
        <v>11.322809581057037</v>
      </c>
      <c r="AH33" s="9">
        <f>Constants!Q15/Constants!L15*('Anticipated Compliance'!K33*I33)</f>
        <v>4420787.599495993</v>
      </c>
      <c r="AI33" s="9">
        <f>(Constants!Q15*Constants!R15)/Constants!L15*('Anticipated Compliance'!L33*J33)</f>
        <v>5606924.1052717064</v>
      </c>
      <c r="AJ33" s="9">
        <f>Constants!Q15/Constants!M15*'Anticipated Compliance'!K33*(1-I33)</f>
        <v>0</v>
      </c>
      <c r="AK33" s="9">
        <f>(Constants!Q15*Constants!R15)/Constants!M15*'Anticipated Compliance'!L33*(1-J33)</f>
        <v>0</v>
      </c>
      <c r="AL33" s="9">
        <f t="shared" si="35"/>
        <v>10027.7117047677</v>
      </c>
      <c r="AM33" s="28">
        <f>(AL33*Constants!I15*Constants!K15+'Anticipated Compliance'!AL33*(1-Constants!I15)*Constants!J15)*0.000453592</f>
        <v>2464.6587678017977</v>
      </c>
      <c r="AN33" s="33">
        <f t="shared" si="31"/>
        <v>2505.0751530810749</v>
      </c>
      <c r="AO33" s="48">
        <f t="shared" si="38"/>
        <v>13070.548948531054</v>
      </c>
      <c r="AQ33" s="7"/>
    </row>
    <row r="34" spans="1:43" x14ac:dyDescent="0.25">
      <c r="A34" s="7">
        <v>2033</v>
      </c>
      <c r="B34" s="88">
        <v>0</v>
      </c>
      <c r="C34" s="82">
        <v>0.9</v>
      </c>
      <c r="D34" s="82">
        <v>350</v>
      </c>
      <c r="E34" s="82">
        <v>80</v>
      </c>
      <c r="F34" s="82">
        <v>350</v>
      </c>
      <c r="G34" s="82">
        <v>69</v>
      </c>
      <c r="H34" s="90">
        <v>0.03</v>
      </c>
      <c r="I34" s="90">
        <v>1</v>
      </c>
      <c r="J34" s="90">
        <v>1</v>
      </c>
      <c r="K34" s="92">
        <v>1137.8046088034666</v>
      </c>
      <c r="L34" s="93">
        <v>1924.0058698570219</v>
      </c>
      <c r="M34" s="18"/>
      <c r="N34" s="7">
        <v>2033</v>
      </c>
      <c r="O34" s="34">
        <f>Constants!O16*Constants!B16-B34</f>
        <v>2364.3894356242959</v>
      </c>
      <c r="P34" s="9">
        <f t="shared" si="24"/>
        <v>4</v>
      </c>
      <c r="Q34" s="9">
        <f t="shared" si="25"/>
        <v>1.1000000000000001</v>
      </c>
      <c r="R34" s="9">
        <f t="shared" si="26"/>
        <v>1.1060000000000001</v>
      </c>
      <c r="S34" s="9">
        <f t="shared" si="32"/>
        <v>4</v>
      </c>
      <c r="T34" s="9">
        <f t="shared" si="27"/>
        <v>1.1060000000000001</v>
      </c>
      <c r="U34" s="41">
        <f t="shared" si="28"/>
        <v>4551.2184352138665</v>
      </c>
      <c r="V34" s="41">
        <f t="shared" si="29"/>
        <v>2127.9504920618665</v>
      </c>
      <c r="W34" s="41">
        <f>IF(O34&gt;0,IF('Anticipated Compliance'!V34/'Anticipated Compliance'!O34&gt;C34,'Anticipated Compliance'!O34*C34,'Anticipated Compliance'!V34),0)</f>
        <v>2127.9504920618665</v>
      </c>
      <c r="X34" s="41">
        <f t="shared" si="33"/>
        <v>0</v>
      </c>
      <c r="Y34" s="41">
        <f t="shared" si="30"/>
        <v>4314.7794916514376</v>
      </c>
      <c r="Z34" s="41">
        <f t="shared" si="36"/>
        <v>15863.949442009722</v>
      </c>
      <c r="AA34" s="9">
        <f>(Constants!Q16*I34*Constants!F16*K34*0.000001)</f>
        <v>2198.2385042082979</v>
      </c>
      <c r="AB34" s="9">
        <f>(Constants!Q16*(1-I34)*Constants!G16*K34*0.000001)</f>
        <v>0</v>
      </c>
      <c r="AC34" s="9">
        <f>(Constants!Q16*Constants!R16*J34*Constants!F16*L34*0.000001)</f>
        <v>2787.8845054228245</v>
      </c>
      <c r="AD34" s="9">
        <f>(Constants!Q16*Constants!R16*(1-J34)*Constants!G16*L34*0.000001)</f>
        <v>0</v>
      </c>
      <c r="AE34" s="28">
        <f t="shared" si="34"/>
        <v>4986.1230096311228</v>
      </c>
      <c r="AF34" s="33">
        <f>Constants!Q16*Constants!H16*(K34+L34)/1000000</f>
        <v>1.7605410252297808</v>
      </c>
      <c r="AG34" s="43">
        <f t="shared" si="37"/>
        <v>13.083350606286817</v>
      </c>
      <c r="AH34" s="9">
        <f>Constants!Q16/Constants!L16*('Anticipated Compliance'!K34*I34)</f>
        <v>4435509.4919457175</v>
      </c>
      <c r="AI34" s="9">
        <f>(Constants!Q16*Constants!R16)/Constants!L16*('Anticipated Compliance'!L34*J34)</f>
        <v>5625271.3991582412</v>
      </c>
      <c r="AJ34" s="9">
        <f>Constants!Q16/Constants!M16*'Anticipated Compliance'!K34*(1-I34)</f>
        <v>0</v>
      </c>
      <c r="AK34" s="9">
        <f>(Constants!Q16*Constants!R16)/Constants!M16*'Anticipated Compliance'!L34*(1-J34)</f>
        <v>0</v>
      </c>
      <c r="AL34" s="9">
        <f t="shared" si="35"/>
        <v>10060.780891103959</v>
      </c>
      <c r="AM34" s="28">
        <f>(AL34*Constants!I16*Constants!K16+'Anticipated Compliance'!AL34*(1-Constants!I16)*Constants!J16)*0.000453592</f>
        <v>2586.8088424481098</v>
      </c>
      <c r="AN34" s="33">
        <f t="shared" si="31"/>
        <v>2399.3141671830131</v>
      </c>
      <c r="AO34" s="48">
        <f t="shared" si="38"/>
        <v>15469.863115714066</v>
      </c>
      <c r="AQ34" s="7"/>
    </row>
    <row r="35" spans="1:43" x14ac:dyDescent="0.25">
      <c r="A35" s="7">
        <v>2034</v>
      </c>
      <c r="B35" s="88">
        <v>0</v>
      </c>
      <c r="C35" s="82">
        <v>0.9</v>
      </c>
      <c r="D35" s="82">
        <v>350</v>
      </c>
      <c r="E35" s="82">
        <v>80</v>
      </c>
      <c r="F35" s="82">
        <v>350</v>
      </c>
      <c r="G35" s="82">
        <v>71</v>
      </c>
      <c r="H35" s="90">
        <v>0.03</v>
      </c>
      <c r="I35" s="90">
        <v>1</v>
      </c>
      <c r="J35" s="90">
        <v>1</v>
      </c>
      <c r="K35" s="92">
        <v>1145.8123504506189</v>
      </c>
      <c r="L35" s="93">
        <v>1937.5312873510888</v>
      </c>
      <c r="M35" s="18"/>
      <c r="N35" s="7">
        <v>2034</v>
      </c>
      <c r="O35" s="34">
        <f>Constants!O17*Constants!B17-B35</f>
        <v>2381.010670900338</v>
      </c>
      <c r="P35" s="9">
        <f t="shared" si="24"/>
        <v>4</v>
      </c>
      <c r="Q35" s="9">
        <f t="shared" si="25"/>
        <v>1.1000000000000001</v>
      </c>
      <c r="R35" s="9">
        <f t="shared" si="26"/>
        <v>1.1060000000000001</v>
      </c>
      <c r="S35" s="9">
        <f t="shared" si="32"/>
        <v>4</v>
      </c>
      <c r="T35" s="9">
        <f t="shared" si="27"/>
        <v>1.1060000000000001</v>
      </c>
      <c r="U35" s="41">
        <f t="shared" si="28"/>
        <v>4583.2494018024754</v>
      </c>
      <c r="V35" s="41">
        <f t="shared" si="29"/>
        <v>2142.9096038103044</v>
      </c>
      <c r="W35" s="41">
        <f>IF(O35&gt;0,IF('Anticipated Compliance'!V35/'Anticipated Compliance'!O35&gt;C35,'Anticipated Compliance'!O35*C35,'Anticipated Compliance'!V35),0)</f>
        <v>2142.9096038103044</v>
      </c>
      <c r="X35" s="41">
        <f t="shared" si="33"/>
        <v>0</v>
      </c>
      <c r="Y35" s="41">
        <f t="shared" si="30"/>
        <v>4345.1483347124413</v>
      </c>
      <c r="Z35" s="41">
        <f t="shared" si="36"/>
        <v>20209.097776722163</v>
      </c>
      <c r="AA35" s="9">
        <f>(Constants!Q17*I35*Constants!F17*K35*0.000001)</f>
        <v>2213.7094610705958</v>
      </c>
      <c r="AB35" s="9">
        <f>(Constants!Q17*(1-I35)*Constants!G17*K35*0.000001)</f>
        <v>0</v>
      </c>
      <c r="AC35" s="9">
        <f>(Constants!Q17*Constants!R17*J35*Constants!F17*L35*0.000001)</f>
        <v>2807.482835371728</v>
      </c>
      <c r="AD35" s="9">
        <f>(Constants!Q17*Constants!R17*(1-J35)*Constants!G17*L35*0.000001)</f>
        <v>0</v>
      </c>
      <c r="AE35" s="28">
        <f t="shared" si="34"/>
        <v>5021.1922964423238</v>
      </c>
      <c r="AF35" s="33">
        <f>Constants!Q17*Constants!H17*(K35+L35)/1000000</f>
        <v>1.7729225917359819</v>
      </c>
      <c r="AG35" s="43">
        <f t="shared" si="37"/>
        <v>14.8562731980228</v>
      </c>
      <c r="AH35" s="9">
        <f>Constants!Q17/Constants!L17*('Anticipated Compliance'!K35*I35)</f>
        <v>4466726.1119261412</v>
      </c>
      <c r="AI35" s="9">
        <f>(Constants!Q17*Constants!R17)/Constants!L17*('Anticipated Compliance'!L35*J35)</f>
        <v>5664816.0520010637</v>
      </c>
      <c r="AJ35" s="9">
        <f>Constants!Q17/Constants!M17*'Anticipated Compliance'!K35*(1-I35)</f>
        <v>0</v>
      </c>
      <c r="AK35" s="9">
        <f>(Constants!Q17*Constants!R17)/Constants!M17*'Anticipated Compliance'!L35*(1-J35)</f>
        <v>0</v>
      </c>
      <c r="AL35" s="9">
        <f t="shared" si="35"/>
        <v>10131.542163927204</v>
      </c>
      <c r="AM35" s="28">
        <f>(AL35*Constants!I17*Constants!K17+'Anticipated Compliance'!AL35*(1-Constants!I17)*Constants!J17)*0.000453592</f>
        <v>2597.1555681817099</v>
      </c>
      <c r="AN35" s="33">
        <f t="shared" si="31"/>
        <v>2424.0367282606139</v>
      </c>
      <c r="AO35" s="48">
        <f t="shared" si="38"/>
        <v>17893.899843974679</v>
      </c>
      <c r="AQ35" s="7"/>
    </row>
    <row r="36" spans="1:43" ht="15.75" thickBot="1" x14ac:dyDescent="0.3">
      <c r="A36" s="7">
        <v>2035</v>
      </c>
      <c r="B36" s="89">
        <v>0</v>
      </c>
      <c r="C36" s="85">
        <v>0.9</v>
      </c>
      <c r="D36" s="85">
        <v>350</v>
      </c>
      <c r="E36" s="85">
        <v>80</v>
      </c>
      <c r="F36" s="85">
        <v>350</v>
      </c>
      <c r="G36" s="85">
        <v>74</v>
      </c>
      <c r="H36" s="91">
        <v>0.03</v>
      </c>
      <c r="I36" s="91">
        <v>1</v>
      </c>
      <c r="J36" s="91">
        <v>1</v>
      </c>
      <c r="K36" s="94">
        <v>1154.0151495689875</v>
      </c>
      <c r="L36" s="95">
        <v>1951.4679506473403</v>
      </c>
      <c r="M36" s="18"/>
      <c r="N36" s="7">
        <v>2035</v>
      </c>
      <c r="O36" s="35">
        <f>Constants!O18*Constants!B18-B36</f>
        <v>2398.1372815732871</v>
      </c>
      <c r="P36" s="16">
        <f t="shared" si="24"/>
        <v>4</v>
      </c>
      <c r="Q36" s="16">
        <f t="shared" si="25"/>
        <v>1.1000000000000001</v>
      </c>
      <c r="R36" s="16">
        <f t="shared" si="26"/>
        <v>1.1060000000000001</v>
      </c>
      <c r="S36" s="27">
        <f t="shared" si="32"/>
        <v>4</v>
      </c>
      <c r="T36" s="16">
        <f t="shared" si="27"/>
        <v>1.1060000000000001</v>
      </c>
      <c r="U36" s="50">
        <f t="shared" si="28"/>
        <v>4616.0605982759498</v>
      </c>
      <c r="V36" s="50">
        <f t="shared" si="29"/>
        <v>2158.3235534159585</v>
      </c>
      <c r="W36" s="50">
        <f>IF(O36&gt;0,IF('Anticipated Compliance'!V36/'Anticipated Compliance'!O36&gt;C36,'Anticipated Compliance'!O36*C36,'Anticipated Compliance'!V36),0)</f>
        <v>2158.3235534159585</v>
      </c>
      <c r="X36" s="50">
        <f t="shared" si="33"/>
        <v>0</v>
      </c>
      <c r="Y36" s="50">
        <f t="shared" si="30"/>
        <v>4376.2468701186208</v>
      </c>
      <c r="Z36" s="50">
        <f t="shared" si="36"/>
        <v>24585.344646840786</v>
      </c>
      <c r="AA36" s="27">
        <f>(Constants!Q18*I36*Constants!F18*K36*0.000001)</f>
        <v>2229.5572689672836</v>
      </c>
      <c r="AB36" s="27">
        <f>(Constants!Q18*(1-I36)*Constants!G18*K36*0.000001)</f>
        <v>0</v>
      </c>
      <c r="AC36" s="27">
        <f>(Constants!Q18*Constants!R18*J36*Constants!F18*L36*0.000001)</f>
        <v>2827.6770604879962</v>
      </c>
      <c r="AD36" s="27">
        <f>(Constants!Q18*Constants!R18*(1-J36)*Constants!G18*L36*0.000001)</f>
        <v>0</v>
      </c>
      <c r="AE36" s="47">
        <f t="shared" si="34"/>
        <v>5057.2343294552793</v>
      </c>
      <c r="AF36" s="36">
        <f>Constants!Q18*Constants!H18*(K36+L36)/1000000</f>
        <v>1.7856527826243886</v>
      </c>
      <c r="AG36" s="49">
        <f t="shared" si="37"/>
        <v>16.641925980647187</v>
      </c>
      <c r="AH36" s="27">
        <f>Constants!Q18/Constants!L18*('Anticipated Compliance'!K36*I36)</f>
        <v>4498703.1254384257</v>
      </c>
      <c r="AI36" s="27">
        <f>(Constants!Q18*Constants!R18)/Constants!L18*('Anticipated Compliance'!L36*J36)</f>
        <v>5705563.0760451891</v>
      </c>
      <c r="AJ36" s="27">
        <f>Constants!Q18/Constants!M18*'Anticipated Compliance'!K36*(1-I36)</f>
        <v>0</v>
      </c>
      <c r="AK36" s="27">
        <f>(Constants!Q18*Constants!R18)/Constants!M18*'Anticipated Compliance'!L36*(1-J36)</f>
        <v>0</v>
      </c>
      <c r="AL36" s="27">
        <f t="shared" si="35"/>
        <v>10204.266201483615</v>
      </c>
      <c r="AM36" s="47">
        <f>(AL36*Constants!I18*Constants!K18+'Anticipated Compliance'!AL36*(1-Constants!I18)*Constants!J18)*0.000453592</f>
        <v>2613.2627256404371</v>
      </c>
      <c r="AN36" s="36">
        <f t="shared" si="31"/>
        <v>2443.9716038148422</v>
      </c>
      <c r="AO36" s="51">
        <f t="shared" si="38"/>
        <v>20337.871447789523</v>
      </c>
      <c r="AQ36" s="7"/>
    </row>
    <row r="38" spans="1:43" ht="15.75" thickBot="1" x14ac:dyDescent="0.3">
      <c r="B38" s="28" t="s">
        <v>209</v>
      </c>
      <c r="C38" s="9"/>
      <c r="D38" s="9"/>
      <c r="E38" s="9"/>
      <c r="F38" s="9"/>
      <c r="G38" s="9"/>
      <c r="H38" s="9"/>
      <c r="I38" s="9"/>
      <c r="J38" s="9"/>
      <c r="K38" s="9"/>
      <c r="L38" s="9"/>
      <c r="X38" s="22"/>
    </row>
    <row r="39" spans="1:43" ht="105" x14ac:dyDescent="0.25">
      <c r="B39" s="29" t="s">
        <v>157</v>
      </c>
      <c r="C39" s="30" t="s">
        <v>158</v>
      </c>
      <c r="D39" s="30" t="s">
        <v>159</v>
      </c>
      <c r="E39" s="30" t="s">
        <v>160</v>
      </c>
      <c r="F39" s="30" t="s">
        <v>161</v>
      </c>
      <c r="G39" s="30" t="s">
        <v>162</v>
      </c>
      <c r="H39" s="30" t="s">
        <v>163</v>
      </c>
      <c r="I39" s="30" t="s">
        <v>164</v>
      </c>
      <c r="J39" s="30" t="s">
        <v>165</v>
      </c>
      <c r="K39" s="30" t="s">
        <v>210</v>
      </c>
      <c r="L39" s="31" t="s">
        <v>211</v>
      </c>
      <c r="M39" s="2"/>
      <c r="O39" s="45" t="s">
        <v>166</v>
      </c>
      <c r="P39" s="46" t="s">
        <v>167</v>
      </c>
      <c r="Q39" s="46" t="s">
        <v>168</v>
      </c>
      <c r="R39" s="46" t="s">
        <v>169</v>
      </c>
      <c r="S39" s="46" t="s">
        <v>170</v>
      </c>
      <c r="T39" s="46" t="s">
        <v>171</v>
      </c>
      <c r="U39" s="23" t="s">
        <v>212</v>
      </c>
      <c r="V39" s="23" t="s">
        <v>213</v>
      </c>
      <c r="W39" s="23" t="s">
        <v>214</v>
      </c>
      <c r="X39" s="23" t="s">
        <v>224</v>
      </c>
      <c r="Y39" s="23" t="s">
        <v>225</v>
      </c>
      <c r="Z39" s="23" t="s">
        <v>217</v>
      </c>
      <c r="AA39" s="23" t="s">
        <v>175</v>
      </c>
      <c r="AB39" s="23" t="s">
        <v>176</v>
      </c>
      <c r="AC39" s="23" t="s">
        <v>177</v>
      </c>
      <c r="AD39" s="23" t="s">
        <v>178</v>
      </c>
      <c r="AE39" s="23" t="s">
        <v>179</v>
      </c>
      <c r="AF39" s="23" t="s">
        <v>180</v>
      </c>
      <c r="AG39" s="23" t="s">
        <v>235</v>
      </c>
      <c r="AH39" s="23" t="s">
        <v>181</v>
      </c>
      <c r="AI39" s="23" t="s">
        <v>236</v>
      </c>
      <c r="AJ39" s="23" t="s">
        <v>182</v>
      </c>
      <c r="AK39" s="23" t="s">
        <v>237</v>
      </c>
      <c r="AL39" s="23" t="s">
        <v>183</v>
      </c>
      <c r="AM39" s="23" t="s">
        <v>184</v>
      </c>
      <c r="AN39" s="23" t="s">
        <v>185</v>
      </c>
      <c r="AO39" s="24" t="s">
        <v>186</v>
      </c>
      <c r="AP39" s="2"/>
      <c r="AQ39" s="7"/>
    </row>
    <row r="40" spans="1:43" ht="30" x14ac:dyDescent="0.25">
      <c r="B40" s="13" t="s">
        <v>45</v>
      </c>
      <c r="C40" s="3" t="s">
        <v>47</v>
      </c>
      <c r="D40" s="3" t="s">
        <v>188</v>
      </c>
      <c r="E40" s="3" t="s">
        <v>51</v>
      </c>
      <c r="F40" s="3" t="s">
        <v>53</v>
      </c>
      <c r="G40" s="3" t="s">
        <v>55</v>
      </c>
      <c r="H40" s="3" t="s">
        <v>57</v>
      </c>
      <c r="I40" s="3" t="s">
        <v>59</v>
      </c>
      <c r="J40" s="3" t="s">
        <v>61</v>
      </c>
      <c r="K40" s="12" t="s">
        <v>63</v>
      </c>
      <c r="L40" s="32" t="s">
        <v>65</v>
      </c>
      <c r="M40" s="2"/>
      <c r="O40" s="19" t="s">
        <v>189</v>
      </c>
      <c r="P40" s="12" t="s">
        <v>69</v>
      </c>
      <c r="Q40" s="12" t="s">
        <v>71</v>
      </c>
      <c r="R40" s="12" t="s">
        <v>73</v>
      </c>
      <c r="S40" s="12" t="s">
        <v>190</v>
      </c>
      <c r="T40" s="12" t="s">
        <v>191</v>
      </c>
      <c r="U40" s="12" t="s">
        <v>114</v>
      </c>
      <c r="V40" s="12" t="s">
        <v>116</v>
      </c>
      <c r="W40" s="12" t="s">
        <v>117</v>
      </c>
      <c r="X40" s="12" t="s">
        <v>120</v>
      </c>
      <c r="Y40" s="12" t="s">
        <v>119</v>
      </c>
      <c r="Z40" s="12" t="s">
        <v>121</v>
      </c>
      <c r="AA40" s="12" t="s">
        <v>85</v>
      </c>
      <c r="AB40" s="12" t="s">
        <v>87</v>
      </c>
      <c r="AC40" s="12" t="s">
        <v>89</v>
      </c>
      <c r="AD40" s="12" t="s">
        <v>91</v>
      </c>
      <c r="AE40" s="12" t="s">
        <v>93</v>
      </c>
      <c r="AF40" s="12" t="s">
        <v>192</v>
      </c>
      <c r="AG40" s="12" t="s">
        <v>96</v>
      </c>
      <c r="AH40" s="12" t="s">
        <v>98</v>
      </c>
      <c r="AI40" s="12" t="s">
        <v>100</v>
      </c>
      <c r="AJ40" s="12" t="s">
        <v>102</v>
      </c>
      <c r="AK40" s="12" t="s">
        <v>104</v>
      </c>
      <c r="AL40" s="12" t="s">
        <v>106</v>
      </c>
      <c r="AM40" s="12" t="s">
        <v>108</v>
      </c>
      <c r="AN40" s="12" t="s">
        <v>110</v>
      </c>
      <c r="AO40" s="32" t="s">
        <v>112</v>
      </c>
      <c r="AP40" s="2"/>
      <c r="AQ40" s="7"/>
    </row>
    <row r="41" spans="1:43" ht="24.75" x14ac:dyDescent="0.25">
      <c r="B41" s="20" t="s">
        <v>193</v>
      </c>
      <c r="C41" s="17" t="s">
        <v>148</v>
      </c>
      <c r="D41" s="17" t="s">
        <v>194</v>
      </c>
      <c r="E41" s="17" t="s">
        <v>195</v>
      </c>
      <c r="F41" s="17" t="s">
        <v>196</v>
      </c>
      <c r="G41" s="17" t="s">
        <v>197</v>
      </c>
      <c r="H41" s="17" t="s">
        <v>148</v>
      </c>
      <c r="I41" s="17" t="s">
        <v>148</v>
      </c>
      <c r="J41" s="17" t="s">
        <v>148</v>
      </c>
      <c r="K41" s="17" t="s">
        <v>223</v>
      </c>
      <c r="L41" s="21" t="s">
        <v>223</v>
      </c>
      <c r="M41" s="17"/>
      <c r="O41" s="20" t="s">
        <v>193</v>
      </c>
      <c r="P41" s="10" t="s">
        <v>198</v>
      </c>
      <c r="Q41" s="10" t="s">
        <v>198</v>
      </c>
      <c r="R41" s="10" t="s">
        <v>198</v>
      </c>
      <c r="S41" s="10" t="s">
        <v>193</v>
      </c>
      <c r="T41" s="10" t="s">
        <v>193</v>
      </c>
      <c r="U41" s="10" t="s">
        <v>193</v>
      </c>
      <c r="V41" s="10" t="s">
        <v>193</v>
      </c>
      <c r="W41" s="10" t="s">
        <v>193</v>
      </c>
      <c r="X41" s="10" t="s">
        <v>193</v>
      </c>
      <c r="Y41" s="10" t="s">
        <v>193</v>
      </c>
      <c r="Z41" s="10" t="s">
        <v>193</v>
      </c>
      <c r="AA41" s="10" t="s">
        <v>201</v>
      </c>
      <c r="AB41" s="10" t="s">
        <v>201</v>
      </c>
      <c r="AC41" s="10" t="s">
        <v>201</v>
      </c>
      <c r="AD41" s="10" t="s">
        <v>201</v>
      </c>
      <c r="AE41" s="10" t="s">
        <v>201</v>
      </c>
      <c r="AF41" s="10" t="s">
        <v>202</v>
      </c>
      <c r="AG41" s="10" t="s">
        <v>202</v>
      </c>
      <c r="AH41" s="10" t="s">
        <v>203</v>
      </c>
      <c r="AI41" s="10" t="s">
        <v>203</v>
      </c>
      <c r="AJ41" s="10" t="s">
        <v>203</v>
      </c>
      <c r="AK41" s="10" t="s">
        <v>203</v>
      </c>
      <c r="AL41" s="10" t="s">
        <v>204</v>
      </c>
      <c r="AM41" s="10" t="s">
        <v>205</v>
      </c>
      <c r="AN41" s="10" t="s">
        <v>205</v>
      </c>
      <c r="AO41" s="25" t="s">
        <v>206</v>
      </c>
      <c r="AP41" s="10"/>
      <c r="AQ41" s="7"/>
    </row>
    <row r="42" spans="1:43" x14ac:dyDescent="0.25">
      <c r="A42" s="7">
        <v>2023</v>
      </c>
      <c r="B42" s="88">
        <v>0</v>
      </c>
      <c r="C42" s="82">
        <v>0</v>
      </c>
      <c r="D42" s="82">
        <v>350</v>
      </c>
      <c r="E42" s="82">
        <v>53</v>
      </c>
      <c r="F42" s="82">
        <v>350</v>
      </c>
      <c r="G42" s="82">
        <v>41</v>
      </c>
      <c r="H42" s="90">
        <v>0.03</v>
      </c>
      <c r="I42" s="90">
        <v>1</v>
      </c>
      <c r="J42" s="90">
        <v>1</v>
      </c>
      <c r="K42" s="92">
        <v>3080.8288909688245</v>
      </c>
      <c r="L42" s="93">
        <v>0</v>
      </c>
      <c r="M42" s="18"/>
      <c r="N42" s="7">
        <v>2023</v>
      </c>
      <c r="O42" s="34">
        <f>Constants!P6*Constants!B6-B42</f>
        <v>0</v>
      </c>
      <c r="P42" s="9">
        <f t="shared" ref="P42:P54" si="39">(D42*0.01+0.5)*I42+(F42*0.01+0.5)*(1-I42)</f>
        <v>4</v>
      </c>
      <c r="Q42" s="9">
        <f t="shared" ref="Q42:Q54" si="40">(E42*0.01+0.3)*J42+(G42*0.01+0.3)*(1-J42)</f>
        <v>0.83000000000000007</v>
      </c>
      <c r="R42" s="9">
        <f t="shared" ref="R42:R54" si="41">Q42+0.2*H42</f>
        <v>0.83600000000000008</v>
      </c>
      <c r="S42" s="9">
        <f>IF(P42&gt;4,4,P42)</f>
        <v>4</v>
      </c>
      <c r="T42" s="9">
        <f t="shared" ref="T42:T54" si="42">IF(H42=0,IF(R42&gt;1.1,1.1,R42),IF(R42&gt;1.3,1.3,R42))</f>
        <v>0.83600000000000008</v>
      </c>
      <c r="U42" s="41">
        <f t="shared" ref="U42:U54" si="43">S42*K42</f>
        <v>12323.315563875298</v>
      </c>
      <c r="V42" s="41">
        <f t="shared" ref="V42:V54" si="44">T42*L42</f>
        <v>0</v>
      </c>
      <c r="W42" s="41">
        <f>IF(O42&gt;0,IF('Anticipated Compliance'!V42/'Anticipated Compliance'!O42&gt;C42,'Anticipated Compliance'!O42*C42,'Anticipated Compliance'!V42),0)</f>
        <v>0</v>
      </c>
      <c r="X42" s="41">
        <f>V42-W42</f>
        <v>0</v>
      </c>
      <c r="Y42" s="41">
        <f t="shared" ref="Y42:Y54" si="45">U42-(O42-W42)</f>
        <v>12323.315563875298</v>
      </c>
      <c r="Z42" s="41">
        <f>X42+Y42</f>
        <v>12323.315563875298</v>
      </c>
      <c r="AA42" s="9">
        <f>(Constants!Q6*I42*Constants!F6*K42*0.000001)</f>
        <v>6271.0272075670418</v>
      </c>
      <c r="AB42" s="9">
        <f>(Constants!Q6*(1-I42)*Constants!G6*K42*0.000001)</f>
        <v>0</v>
      </c>
      <c r="AC42" s="9">
        <f>(Constants!Q6*Constants!R6*J42*Constants!F6*L42*0.000001)</f>
        <v>0</v>
      </c>
      <c r="AD42" s="9">
        <f>(Constants!Q6*Constants!R6*(1-J42)*Constants!G6*L42*0.000001)</f>
        <v>0</v>
      </c>
      <c r="AE42" s="28">
        <f>AA42+AB42+AC42+AD42</f>
        <v>6271.0272075670418</v>
      </c>
      <c r="AF42" s="33">
        <f>Constants!Q6*Constants!H6*(K42+L42)/1000000</f>
        <v>2.2320605315069133</v>
      </c>
      <c r="AG42" s="43">
        <f>AF42</f>
        <v>2.2320605315069133</v>
      </c>
      <c r="AH42" s="9">
        <f>Constants!Q6/Constants!L6*('Anticipated Compliance'!K42*I42)</f>
        <v>12010010.930895416</v>
      </c>
      <c r="AI42" s="9">
        <f>(Constants!Q6*Constants!R6)/Constants!L6*('Anticipated Compliance'!L42*J42)</f>
        <v>0</v>
      </c>
      <c r="AJ42" s="9">
        <f>Constants!Q6/Constants!M6*'Anticipated Compliance'!K42*(1-I42)</f>
        <v>0</v>
      </c>
      <c r="AK42" s="9">
        <f>(Constants!Q6*Constants!R6)/Constants!M6*'Anticipated Compliance'!L42*(1-J42)</f>
        <v>0</v>
      </c>
      <c r="AL42" s="9">
        <f>(AH42+AI42+AJ42+AK42)*0.001</f>
        <v>12010.010930895416</v>
      </c>
      <c r="AM42" s="28">
        <f>(AL42*Constants!I6*Constants!K6+'Anticipated Compliance'!AL42*(1-Constants!I6)*Constants!J6)*0.000453592</f>
        <v>3873.0873816136864</v>
      </c>
      <c r="AN42" s="33">
        <f t="shared" ref="AN42:AN54" si="46">AE42-AM42</f>
        <v>2397.9398259533555</v>
      </c>
      <c r="AO42" s="48">
        <f>AN42</f>
        <v>2397.9398259533555</v>
      </c>
      <c r="AQ42" s="7"/>
    </row>
    <row r="43" spans="1:43" x14ac:dyDescent="0.25">
      <c r="A43" s="7">
        <v>2024</v>
      </c>
      <c r="B43" s="88">
        <v>0</v>
      </c>
      <c r="C43" s="82">
        <v>0</v>
      </c>
      <c r="D43" s="82">
        <v>350</v>
      </c>
      <c r="E43" s="82">
        <v>57</v>
      </c>
      <c r="F43" s="82">
        <v>350</v>
      </c>
      <c r="G43" s="82">
        <v>44</v>
      </c>
      <c r="H43" s="90">
        <v>0.03</v>
      </c>
      <c r="I43" s="90">
        <v>1</v>
      </c>
      <c r="J43" s="90">
        <v>1</v>
      </c>
      <c r="K43" s="92">
        <v>3105.1236270515892</v>
      </c>
      <c r="L43" s="93">
        <v>0</v>
      </c>
      <c r="M43" s="18"/>
      <c r="N43" s="7">
        <v>2024</v>
      </c>
      <c r="O43" s="34">
        <f>Constants!P7*Constants!B7-B43</f>
        <v>0</v>
      </c>
      <c r="P43" s="9">
        <f t="shared" si="39"/>
        <v>4</v>
      </c>
      <c r="Q43" s="9">
        <f t="shared" si="40"/>
        <v>0.87000000000000011</v>
      </c>
      <c r="R43" s="9">
        <f t="shared" si="41"/>
        <v>0.87600000000000011</v>
      </c>
      <c r="S43" s="9">
        <f t="shared" ref="S43:S54" si="47">IF(P43&gt;4,4,P43)</f>
        <v>4</v>
      </c>
      <c r="T43" s="9">
        <f t="shared" si="42"/>
        <v>0.87600000000000011</v>
      </c>
      <c r="U43" s="41">
        <f t="shared" si="43"/>
        <v>12420.494508206357</v>
      </c>
      <c r="V43" s="41">
        <f t="shared" si="44"/>
        <v>0</v>
      </c>
      <c r="W43" s="41">
        <f>IF(O43&gt;0,IF('Anticipated Compliance'!V43/'Anticipated Compliance'!O43&gt;C43,'Anticipated Compliance'!O43*C43,'Anticipated Compliance'!V43),0)</f>
        <v>0</v>
      </c>
      <c r="X43" s="41">
        <f t="shared" ref="X43:X54" si="48">V43-W43</f>
        <v>0</v>
      </c>
      <c r="Y43" s="41">
        <f t="shared" si="45"/>
        <v>12420.494508206357</v>
      </c>
      <c r="Z43" s="41">
        <f>Z42+X43+Y43</f>
        <v>24743.810072081655</v>
      </c>
      <c r="AA43" s="9">
        <f>(Constants!Q7*I43*Constants!F7*K43*0.000001)</f>
        <v>6213.3523777302298</v>
      </c>
      <c r="AB43" s="9">
        <f>(Constants!Q7*(1-I43)*Constants!G7*K43*0.000001)</f>
        <v>0</v>
      </c>
      <c r="AC43" s="9">
        <f>(Constants!Q7*Constants!R7*J43*Constants!F7*L43*0.000001)</f>
        <v>0</v>
      </c>
      <c r="AD43" s="9">
        <f>(Constants!Q7*Constants!R7*(1-J43)*Constants!G7*L43*0.000001)</f>
        <v>0</v>
      </c>
      <c r="AE43" s="28">
        <f t="shared" ref="AE43:AE54" si="49">AA43+AB43+AC43+AD43</f>
        <v>6213.3523777302298</v>
      </c>
      <c r="AF43" s="33">
        <f>Constants!Q7*Constants!H7*(K43+L43)/1000000</f>
        <v>2.0354085375323168</v>
      </c>
      <c r="AG43" s="43">
        <f>AG42+AF43</f>
        <v>4.2674690690392296</v>
      </c>
      <c r="AH43" s="9">
        <f>Constants!Q7/Constants!L7*('Anticipated Compliance'!K43*I43)</f>
        <v>12104719.224099414</v>
      </c>
      <c r="AI43" s="9">
        <f>(Constants!Q7*Constants!R7)/Constants!L7*('Anticipated Compliance'!L43*J43)</f>
        <v>0</v>
      </c>
      <c r="AJ43" s="9">
        <f>Constants!Q7/Constants!M7*'Anticipated Compliance'!K43*(1-I43)</f>
        <v>0</v>
      </c>
      <c r="AK43" s="9">
        <f>(Constants!Q7*Constants!R7)/Constants!M7*'Anticipated Compliance'!L43*(1-J43)</f>
        <v>0</v>
      </c>
      <c r="AL43" s="9">
        <f t="shared" ref="AL43:AL54" si="50">(AH43+AI43+AJ43+AK43)*0.001</f>
        <v>12104.719224099415</v>
      </c>
      <c r="AM43" s="28">
        <f>(AL43*Constants!I7*Constants!K7+'Anticipated Compliance'!AL43*(1-Constants!I7)*Constants!J7)*0.000453592</f>
        <v>3774.9221517095821</v>
      </c>
      <c r="AN43" s="33">
        <f t="shared" si="46"/>
        <v>2438.4302260206478</v>
      </c>
      <c r="AO43" s="48">
        <f>AN43+AO42</f>
        <v>4836.3700519740032</v>
      </c>
      <c r="AQ43" s="7"/>
    </row>
    <row r="44" spans="1:43" x14ac:dyDescent="0.25">
      <c r="A44" s="7">
        <v>2025</v>
      </c>
      <c r="B44" s="88">
        <v>0</v>
      </c>
      <c r="C44" s="82">
        <v>0</v>
      </c>
      <c r="D44" s="82">
        <v>350</v>
      </c>
      <c r="E44" s="82">
        <v>60</v>
      </c>
      <c r="F44" s="82">
        <v>350</v>
      </c>
      <c r="G44" s="82">
        <v>47</v>
      </c>
      <c r="H44" s="90">
        <v>0.03</v>
      </c>
      <c r="I44" s="90">
        <v>1</v>
      </c>
      <c r="J44" s="90">
        <v>1</v>
      </c>
      <c r="K44" s="92">
        <v>3168.7363212328937</v>
      </c>
      <c r="L44" s="93">
        <v>0</v>
      </c>
      <c r="M44" s="18"/>
      <c r="N44" s="7">
        <v>2025</v>
      </c>
      <c r="O44" s="34">
        <f>Constants!P8*Constants!B8-B44</f>
        <v>694.66709003380106</v>
      </c>
      <c r="P44" s="9">
        <f t="shared" si="39"/>
        <v>4</v>
      </c>
      <c r="Q44" s="9">
        <f t="shared" si="40"/>
        <v>0.89999999999999991</v>
      </c>
      <c r="R44" s="9">
        <f t="shared" si="41"/>
        <v>0.90599999999999992</v>
      </c>
      <c r="S44" s="9">
        <f t="shared" si="47"/>
        <v>4</v>
      </c>
      <c r="T44" s="9">
        <f t="shared" si="42"/>
        <v>0.90599999999999992</v>
      </c>
      <c r="U44" s="41">
        <f t="shared" si="43"/>
        <v>12674.945284931575</v>
      </c>
      <c r="V44" s="41">
        <f t="shared" si="44"/>
        <v>0</v>
      </c>
      <c r="W44" s="41">
        <f>IF(O44&gt;0,IF('Anticipated Compliance'!V44/'Anticipated Compliance'!O44&gt;C44,'Anticipated Compliance'!O44*C44,'Anticipated Compliance'!V44),0)</f>
        <v>0</v>
      </c>
      <c r="X44" s="41">
        <f t="shared" si="48"/>
        <v>0</v>
      </c>
      <c r="Y44" s="41">
        <f t="shared" si="45"/>
        <v>11980.278194897774</v>
      </c>
      <c r="Z44" s="41">
        <f t="shared" ref="Z44:Z54" si="51">Z43+X44+Y44</f>
        <v>36724.08826697943</v>
      </c>
      <c r="AA44" s="9">
        <f>(Constants!Q8*I44*Constants!F8*K44*0.000001)</f>
        <v>6231.3199757044858</v>
      </c>
      <c r="AB44" s="9">
        <f>(Constants!Q8*(1-I44)*Constants!G8*K44*0.000001)</f>
        <v>0</v>
      </c>
      <c r="AC44" s="9">
        <f>(Constants!Q8*Constants!R8*J44*Constants!F8*L44*0.000001)</f>
        <v>0</v>
      </c>
      <c r="AD44" s="9">
        <f>(Constants!Q8*Constants!R8*(1-J44)*Constants!G8*L44*0.000001)</f>
        <v>0</v>
      </c>
      <c r="AE44" s="28">
        <f t="shared" si="49"/>
        <v>6231.3199757044858</v>
      </c>
      <c r="AF44" s="33">
        <f>Constants!Q8*Constants!H8*(K44+L44)/1000000</f>
        <v>1.822023384708914</v>
      </c>
      <c r="AG44" s="43">
        <f t="shared" ref="AG44:AG54" si="52">AG43+AF44</f>
        <v>6.0894924537481439</v>
      </c>
      <c r="AH44" s="9">
        <f>Constants!Q8/Constants!L8*('Anticipated Compliance'!K44*I44)</f>
        <v>12352700.913280772</v>
      </c>
      <c r="AI44" s="9">
        <f>(Constants!Q8*Constants!R8)/Constants!L8*('Anticipated Compliance'!L44*J44)</f>
        <v>0</v>
      </c>
      <c r="AJ44" s="9">
        <f>Constants!Q8/Constants!M8*'Anticipated Compliance'!K44*(1-I44)</f>
        <v>0</v>
      </c>
      <c r="AK44" s="9">
        <f>(Constants!Q8*Constants!R8)/Constants!M8*'Anticipated Compliance'!L44*(1-J44)</f>
        <v>0</v>
      </c>
      <c r="AL44" s="9">
        <f t="shared" si="50"/>
        <v>12352.700913280773</v>
      </c>
      <c r="AM44" s="28">
        <f>(AL44*Constants!I8*Constants!K8+'Anticipated Compliance'!AL44*(1-Constants!I8)*Constants!J8)*0.000453592</f>
        <v>3772.5611735559978</v>
      </c>
      <c r="AN44" s="33">
        <f t="shared" si="46"/>
        <v>2458.758802148488</v>
      </c>
      <c r="AO44" s="48">
        <f t="shared" ref="AO44:AO54" si="53">AN44+AO43</f>
        <v>7295.1288541224912</v>
      </c>
      <c r="AQ44" s="7"/>
    </row>
    <row r="45" spans="1:43" x14ac:dyDescent="0.25">
      <c r="A45" s="7">
        <v>2026</v>
      </c>
      <c r="B45" s="88">
        <v>0</v>
      </c>
      <c r="C45" s="82">
        <v>0</v>
      </c>
      <c r="D45" s="82">
        <v>350</v>
      </c>
      <c r="E45" s="82">
        <v>64</v>
      </c>
      <c r="F45" s="82">
        <v>350</v>
      </c>
      <c r="G45" s="82">
        <v>50</v>
      </c>
      <c r="H45" s="90">
        <v>0.03</v>
      </c>
      <c r="I45" s="90">
        <v>1</v>
      </c>
      <c r="J45" s="90">
        <v>1</v>
      </c>
      <c r="K45" s="92">
        <v>3242.2063361050941</v>
      </c>
      <c r="L45" s="93">
        <v>0</v>
      </c>
      <c r="M45" s="18"/>
      <c r="N45" s="7">
        <v>2026</v>
      </c>
      <c r="O45" s="34">
        <f>Constants!P9*Constants!B9-B45</f>
        <v>710.76790330840936</v>
      </c>
      <c r="P45" s="9">
        <f t="shared" si="39"/>
        <v>4</v>
      </c>
      <c r="Q45" s="9">
        <f t="shared" si="40"/>
        <v>0.94</v>
      </c>
      <c r="R45" s="9">
        <f t="shared" si="41"/>
        <v>0.94599999999999995</v>
      </c>
      <c r="S45" s="9">
        <f t="shared" si="47"/>
        <v>4</v>
      </c>
      <c r="T45" s="9">
        <f t="shared" si="42"/>
        <v>0.94599999999999995</v>
      </c>
      <c r="U45" s="41">
        <f t="shared" si="43"/>
        <v>12968.825344420376</v>
      </c>
      <c r="V45" s="41">
        <f t="shared" si="44"/>
        <v>0</v>
      </c>
      <c r="W45" s="41">
        <f>IF(O45&gt;0,IF('Anticipated Compliance'!V45/'Anticipated Compliance'!O45&gt;C45,'Anticipated Compliance'!O45*C45,'Anticipated Compliance'!V45),0)</f>
        <v>0</v>
      </c>
      <c r="X45" s="41">
        <f t="shared" si="48"/>
        <v>0</v>
      </c>
      <c r="Y45" s="41">
        <f t="shared" si="45"/>
        <v>12258.057441111967</v>
      </c>
      <c r="Z45" s="41">
        <f t="shared" si="51"/>
        <v>48982.145708091397</v>
      </c>
      <c r="AA45" s="9">
        <f>(Constants!Q9*I45*Constants!F9*K45*0.000001)</f>
        <v>6263.9426413550409</v>
      </c>
      <c r="AB45" s="9">
        <f>(Constants!Q9*(1-I45)*Constants!G9*K45*0.000001)</f>
        <v>0</v>
      </c>
      <c r="AC45" s="9">
        <f>(Constants!Q9*Constants!R9*J45*Constants!F9*L45*0.000001)</f>
        <v>0</v>
      </c>
      <c r="AD45" s="9">
        <f>(Constants!Q9*Constants!R9*(1-J45)*Constants!G9*L45*0.000001)</f>
        <v>0</v>
      </c>
      <c r="AE45" s="28">
        <f t="shared" si="49"/>
        <v>6263.9426413550409</v>
      </c>
      <c r="AF45" s="33">
        <f>Constants!Q9*Constants!H9*(K45+L45)/1000000</f>
        <v>1.8642686432604292</v>
      </c>
      <c r="AG45" s="43">
        <f t="shared" si="52"/>
        <v>7.9537610970085728</v>
      </c>
      <c r="AH45" s="9">
        <f>Constants!Q9/Constants!L9*('Anticipated Compliance'!K45*I45)</f>
        <v>12639109.445833417</v>
      </c>
      <c r="AI45" s="9">
        <f>(Constants!Q9*Constants!R9)/Constants!L9*('Anticipated Compliance'!L45*J45)</f>
        <v>0</v>
      </c>
      <c r="AJ45" s="9">
        <f>Constants!Q9/Constants!M9*'Anticipated Compliance'!K45*(1-I45)</f>
        <v>0</v>
      </c>
      <c r="AK45" s="9">
        <f>(Constants!Q9*Constants!R9)/Constants!M9*'Anticipated Compliance'!L45*(1-J45)</f>
        <v>0</v>
      </c>
      <c r="AL45" s="9">
        <f t="shared" si="50"/>
        <v>12639.109445833417</v>
      </c>
      <c r="AM45" s="28">
        <f>(AL45*Constants!I9*Constants!K9+'Anticipated Compliance'!AL45*(1-Constants!I9)*Constants!J9)*0.000453592</f>
        <v>3846.0338696728877</v>
      </c>
      <c r="AN45" s="33">
        <f t="shared" si="46"/>
        <v>2417.9087716821532</v>
      </c>
      <c r="AO45" s="48">
        <f t="shared" si="53"/>
        <v>9713.0376258046454</v>
      </c>
      <c r="AQ45" s="7"/>
    </row>
    <row r="46" spans="1:43" x14ac:dyDescent="0.25">
      <c r="A46" s="7">
        <v>2027</v>
      </c>
      <c r="B46" s="88">
        <v>0</v>
      </c>
      <c r="C46" s="82">
        <v>0</v>
      </c>
      <c r="D46" s="82">
        <v>350</v>
      </c>
      <c r="E46" s="82">
        <v>68</v>
      </c>
      <c r="F46" s="82">
        <v>350</v>
      </c>
      <c r="G46" s="82">
        <v>52</v>
      </c>
      <c r="H46" s="90">
        <v>0.03</v>
      </c>
      <c r="I46" s="90">
        <v>1</v>
      </c>
      <c r="J46" s="90">
        <v>1</v>
      </c>
      <c r="K46" s="92">
        <v>3246.8539378117143</v>
      </c>
      <c r="L46" s="93">
        <v>0</v>
      </c>
      <c r="M46" s="18"/>
      <c r="N46" s="7">
        <v>2027</v>
      </c>
      <c r="O46" s="34">
        <f>Constants!P10*Constants!B10-B46</f>
        <v>711.79035952063919</v>
      </c>
      <c r="P46" s="9">
        <f t="shared" si="39"/>
        <v>4</v>
      </c>
      <c r="Q46" s="9">
        <f t="shared" si="40"/>
        <v>0.98</v>
      </c>
      <c r="R46" s="9">
        <f t="shared" si="41"/>
        <v>0.98599999999999999</v>
      </c>
      <c r="S46" s="9">
        <f t="shared" si="47"/>
        <v>4</v>
      </c>
      <c r="T46" s="9">
        <f t="shared" si="42"/>
        <v>0.98599999999999999</v>
      </c>
      <c r="U46" s="41">
        <f t="shared" si="43"/>
        <v>12987.415751246857</v>
      </c>
      <c r="V46" s="41">
        <f t="shared" si="44"/>
        <v>0</v>
      </c>
      <c r="W46" s="41">
        <f>IF(O46&gt;0,IF('Anticipated Compliance'!V46/'Anticipated Compliance'!O46&gt;C46,'Anticipated Compliance'!O46*C46,'Anticipated Compliance'!V46),0)</f>
        <v>0</v>
      </c>
      <c r="X46" s="41">
        <f t="shared" si="48"/>
        <v>0</v>
      </c>
      <c r="Y46" s="41">
        <f t="shared" si="45"/>
        <v>12275.625391726218</v>
      </c>
      <c r="Z46" s="41">
        <f t="shared" si="51"/>
        <v>61257.771099817619</v>
      </c>
      <c r="AA46" s="9">
        <f>(Constants!Q10*I46*Constants!F10*K46*0.000001)</f>
        <v>6272.9218078522317</v>
      </c>
      <c r="AB46" s="9">
        <f>(Constants!Q10*(1-I46)*Constants!G10*K46*0.000001)</f>
        <v>0</v>
      </c>
      <c r="AC46" s="9">
        <f>(Constants!Q10*Constants!R10*J46*Constants!F10*L46*0.000001)</f>
        <v>0</v>
      </c>
      <c r="AD46" s="9">
        <f>(Constants!Q10*Constants!R10*(1-J46)*Constants!G10*L46*0.000001)</f>
        <v>0</v>
      </c>
      <c r="AE46" s="28">
        <f t="shared" si="49"/>
        <v>6272.9218078522317</v>
      </c>
      <c r="AF46" s="33">
        <f>Constants!Q10*Constants!H10*(K46+L46)/1000000</f>
        <v>1.8669410142417358</v>
      </c>
      <c r="AG46" s="43">
        <f t="shared" si="52"/>
        <v>9.8207021112503092</v>
      </c>
      <c r="AH46" s="9">
        <f>Constants!Q10/Constants!L10*('Anticipated Compliance'!K46*I46)</f>
        <v>12657227.215198208</v>
      </c>
      <c r="AI46" s="9">
        <f>(Constants!Q10*Constants!R10)/Constants!L10*('Anticipated Compliance'!L46*J46)</f>
        <v>0</v>
      </c>
      <c r="AJ46" s="9">
        <f>Constants!Q10/Constants!M10*'Anticipated Compliance'!K46*(1-I46)</f>
        <v>0</v>
      </c>
      <c r="AK46" s="9">
        <f>(Constants!Q10*Constants!R10)/Constants!M10*'Anticipated Compliance'!L46*(1-J46)</f>
        <v>0</v>
      </c>
      <c r="AL46" s="9">
        <f t="shared" si="50"/>
        <v>12657.227215198209</v>
      </c>
      <c r="AM46" s="28">
        <f>(AL46*Constants!I10*Constants!K10+'Anticipated Compliance'!AL46*(1-Constants!I10)*Constants!J10)*0.000453592</f>
        <v>3734.402519843366</v>
      </c>
      <c r="AN46" s="33">
        <f t="shared" si="46"/>
        <v>2538.5192880088657</v>
      </c>
      <c r="AO46" s="48">
        <f t="shared" si="53"/>
        <v>12251.556913813511</v>
      </c>
      <c r="AQ46" s="7"/>
    </row>
    <row r="47" spans="1:43" x14ac:dyDescent="0.25">
      <c r="A47" s="7">
        <v>2028</v>
      </c>
      <c r="B47" s="88">
        <v>0</v>
      </c>
      <c r="C47" s="82">
        <v>0</v>
      </c>
      <c r="D47" s="82">
        <v>350</v>
      </c>
      <c r="E47" s="82">
        <v>71</v>
      </c>
      <c r="F47" s="82">
        <v>350</v>
      </c>
      <c r="G47" s="82">
        <v>55</v>
      </c>
      <c r="H47" s="90">
        <v>0.03</v>
      </c>
      <c r="I47" s="90">
        <v>1</v>
      </c>
      <c r="J47" s="90">
        <v>1</v>
      </c>
      <c r="K47" s="92">
        <v>3216.0805504076056</v>
      </c>
      <c r="L47" s="93">
        <v>0</v>
      </c>
      <c r="M47" s="18"/>
      <c r="N47" s="7">
        <v>2028</v>
      </c>
      <c r="O47" s="34">
        <f>Constants!P11*Constants!B11-B47</f>
        <v>705.06972037283629</v>
      </c>
      <c r="P47" s="9">
        <f t="shared" si="39"/>
        <v>4</v>
      </c>
      <c r="Q47" s="9">
        <f t="shared" si="40"/>
        <v>1.01</v>
      </c>
      <c r="R47" s="9">
        <f t="shared" si="41"/>
        <v>1.016</v>
      </c>
      <c r="S47" s="9">
        <f t="shared" si="47"/>
        <v>4</v>
      </c>
      <c r="T47" s="9">
        <f t="shared" si="42"/>
        <v>1.016</v>
      </c>
      <c r="U47" s="41">
        <f t="shared" si="43"/>
        <v>12864.322201630423</v>
      </c>
      <c r="V47" s="41">
        <f t="shared" si="44"/>
        <v>0</v>
      </c>
      <c r="W47" s="41">
        <f>IF(O47&gt;0,IF('Anticipated Compliance'!V47/'Anticipated Compliance'!O47&gt;C47,'Anticipated Compliance'!O47*C47,'Anticipated Compliance'!V47),0)</f>
        <v>0</v>
      </c>
      <c r="X47" s="41">
        <f t="shared" si="48"/>
        <v>0</v>
      </c>
      <c r="Y47" s="41">
        <f t="shared" si="45"/>
        <v>12159.252481257587</v>
      </c>
      <c r="Z47" s="41">
        <f t="shared" si="51"/>
        <v>73417.023581075206</v>
      </c>
      <c r="AA47" s="9">
        <f>(Constants!Q11*I47*Constants!F11*K47*0.000001)</f>
        <v>6213.4676233874934</v>
      </c>
      <c r="AB47" s="9">
        <f>(Constants!Q11*(1-I47)*Constants!G11*K47*0.000001)</f>
        <v>0</v>
      </c>
      <c r="AC47" s="9">
        <f>(Constants!Q11*Constants!R11*J47*Constants!F11*L47*0.000001)</f>
        <v>0</v>
      </c>
      <c r="AD47" s="9">
        <f>(Constants!Q11*Constants!R11*(1-J47)*Constants!G11*L47*0.000001)</f>
        <v>0</v>
      </c>
      <c r="AE47" s="28">
        <f t="shared" si="49"/>
        <v>6213.4676233874934</v>
      </c>
      <c r="AF47" s="33">
        <f>Constants!Q11*Constants!H11*(K47+L47)/1000000</f>
        <v>1.8492463164843733</v>
      </c>
      <c r="AG47" s="43">
        <f t="shared" si="52"/>
        <v>11.669948427734683</v>
      </c>
      <c r="AH47" s="9">
        <f>Constants!Q11/Constants!L11*('Anticipated Compliance'!K47*I47)</f>
        <v>12537263.162605919</v>
      </c>
      <c r="AI47" s="9">
        <f>(Constants!Q11*Constants!R11)/Constants!L11*('Anticipated Compliance'!L47*J47)</f>
        <v>0</v>
      </c>
      <c r="AJ47" s="9">
        <f>Constants!Q11/Constants!M11*'Anticipated Compliance'!K47*(1-I47)</f>
        <v>0</v>
      </c>
      <c r="AK47" s="9">
        <f>(Constants!Q11*Constants!R11)/Constants!M11*'Anticipated Compliance'!L47*(1-J47)</f>
        <v>0</v>
      </c>
      <c r="AL47" s="9">
        <f t="shared" si="50"/>
        <v>12537.263162605919</v>
      </c>
      <c r="AM47" s="28">
        <f>(AL47*Constants!I11*Constants!K11+'Anticipated Compliance'!AL47*(1-Constants!I11)*Constants!J11)*0.000453592</f>
        <v>3584.4469998961554</v>
      </c>
      <c r="AN47" s="33">
        <f t="shared" si="46"/>
        <v>2629.020623491338</v>
      </c>
      <c r="AO47" s="48">
        <f t="shared" si="53"/>
        <v>14880.577537304849</v>
      </c>
      <c r="AQ47" s="7"/>
    </row>
    <row r="48" spans="1:43" x14ac:dyDescent="0.25">
      <c r="A48" s="7">
        <v>2029</v>
      </c>
      <c r="B48" s="88">
        <v>0</v>
      </c>
      <c r="C48" s="82">
        <v>0</v>
      </c>
      <c r="D48" s="82">
        <v>350</v>
      </c>
      <c r="E48" s="82">
        <v>75</v>
      </c>
      <c r="F48" s="82">
        <v>350</v>
      </c>
      <c r="G48" s="82">
        <v>58</v>
      </c>
      <c r="H48" s="90">
        <v>0.03</v>
      </c>
      <c r="I48" s="90">
        <v>1</v>
      </c>
      <c r="J48" s="90">
        <v>1</v>
      </c>
      <c r="K48" s="92">
        <v>3241.7578421507383</v>
      </c>
      <c r="L48" s="93">
        <v>0</v>
      </c>
      <c r="M48" s="18"/>
      <c r="N48" s="7">
        <v>2029</v>
      </c>
      <c r="O48" s="34">
        <f>Constants!P12*Constants!B12-B48</f>
        <v>710.69322954010033</v>
      </c>
      <c r="P48" s="9">
        <f t="shared" si="39"/>
        <v>4</v>
      </c>
      <c r="Q48" s="9">
        <f t="shared" si="40"/>
        <v>1.05</v>
      </c>
      <c r="R48" s="9">
        <f t="shared" si="41"/>
        <v>1.056</v>
      </c>
      <c r="S48" s="9">
        <f t="shared" si="47"/>
        <v>4</v>
      </c>
      <c r="T48" s="9">
        <f t="shared" si="42"/>
        <v>1.056</v>
      </c>
      <c r="U48" s="41">
        <f t="shared" si="43"/>
        <v>12967.031368602953</v>
      </c>
      <c r="V48" s="41">
        <f t="shared" si="44"/>
        <v>0</v>
      </c>
      <c r="W48" s="41">
        <f>IF(O48&gt;0,IF('Anticipated Compliance'!V48/'Anticipated Compliance'!O48&gt;C48,'Anticipated Compliance'!O48*C48,'Anticipated Compliance'!V48),0)</f>
        <v>0</v>
      </c>
      <c r="X48" s="41">
        <f t="shared" si="48"/>
        <v>0</v>
      </c>
      <c r="Y48" s="41">
        <f t="shared" si="45"/>
        <v>12256.338139062853</v>
      </c>
      <c r="Z48" s="41">
        <f t="shared" si="51"/>
        <v>85673.361720138055</v>
      </c>
      <c r="AA48" s="9">
        <f>(Constants!Q12*I48*Constants!F12*K48*0.000001)</f>
        <v>6263.0761510352258</v>
      </c>
      <c r="AB48" s="9">
        <f>(Constants!Q12*(1-I48)*Constants!G12*K48*0.000001)</f>
        <v>0</v>
      </c>
      <c r="AC48" s="9">
        <f>(Constants!Q12*Constants!R12*J48*Constants!F12*L48*0.000001)</f>
        <v>0</v>
      </c>
      <c r="AD48" s="9">
        <f>(Constants!Q12*Constants!R12*(1-J48)*Constants!G12*L48*0.000001)</f>
        <v>0</v>
      </c>
      <c r="AE48" s="28">
        <f t="shared" si="49"/>
        <v>6263.0761510352258</v>
      </c>
      <c r="AF48" s="33">
        <f>Constants!Q12*Constants!H12*(K48+L48)/1000000</f>
        <v>1.8640107592366746</v>
      </c>
      <c r="AG48" s="43">
        <f t="shared" si="52"/>
        <v>13.533959186971357</v>
      </c>
      <c r="AH48" s="9">
        <f>Constants!Q12/Constants!L12*('Anticipated Compliance'!K48*I48)</f>
        <v>12637361.079570673</v>
      </c>
      <c r="AI48" s="9">
        <f>(Constants!Q12*Constants!R12)/Constants!L12*('Anticipated Compliance'!L48*J48)</f>
        <v>0</v>
      </c>
      <c r="AJ48" s="9">
        <f>Constants!Q12/Constants!M12*'Anticipated Compliance'!K48*(1-I48)</f>
        <v>0</v>
      </c>
      <c r="AK48" s="9">
        <f>(Constants!Q12*Constants!R12)/Constants!M12*'Anticipated Compliance'!L48*(1-J48)</f>
        <v>0</v>
      </c>
      <c r="AL48" s="9">
        <f t="shared" si="50"/>
        <v>12637.361079570674</v>
      </c>
      <c r="AM48" s="28">
        <f>(AL48*Constants!I12*Constants!K12+'Anticipated Compliance'!AL48*(1-Constants!I12)*Constants!J12)*0.000453592</f>
        <v>3592.4020545025196</v>
      </c>
      <c r="AN48" s="33">
        <f t="shared" si="46"/>
        <v>2670.6740965327062</v>
      </c>
      <c r="AO48" s="48">
        <f t="shared" si="53"/>
        <v>17551.251633837557</v>
      </c>
      <c r="AQ48" s="7"/>
    </row>
    <row r="49" spans="1:43" x14ac:dyDescent="0.25">
      <c r="A49" s="7">
        <v>2030</v>
      </c>
      <c r="B49" s="88">
        <v>0</v>
      </c>
      <c r="C49" s="82">
        <v>0</v>
      </c>
      <c r="D49" s="82">
        <v>350</v>
      </c>
      <c r="E49" s="82">
        <v>78</v>
      </c>
      <c r="F49" s="82">
        <v>350</v>
      </c>
      <c r="G49" s="82">
        <v>60</v>
      </c>
      <c r="H49" s="90">
        <v>0.03</v>
      </c>
      <c r="I49" s="90">
        <v>1</v>
      </c>
      <c r="J49" s="90">
        <v>1</v>
      </c>
      <c r="K49" s="92">
        <v>3260.2326160166795</v>
      </c>
      <c r="L49" s="93">
        <v>0</v>
      </c>
      <c r="M49" s="18"/>
      <c r="N49" s="7">
        <v>2030</v>
      </c>
      <c r="O49" s="34">
        <f>Constants!P13*Constants!B13-B49</f>
        <v>714.71412475673458</v>
      </c>
      <c r="P49" s="9">
        <f t="shared" si="39"/>
        <v>4</v>
      </c>
      <c r="Q49" s="9">
        <f t="shared" si="40"/>
        <v>1.08</v>
      </c>
      <c r="R49" s="9">
        <f t="shared" si="41"/>
        <v>1.0860000000000001</v>
      </c>
      <c r="S49" s="9">
        <f t="shared" si="47"/>
        <v>4</v>
      </c>
      <c r="T49" s="9">
        <f t="shared" si="42"/>
        <v>1.0860000000000001</v>
      </c>
      <c r="U49" s="41">
        <f t="shared" si="43"/>
        <v>13040.930464066718</v>
      </c>
      <c r="V49" s="41">
        <f t="shared" si="44"/>
        <v>0</v>
      </c>
      <c r="W49" s="41">
        <f>IF(O49&gt;0,IF('Anticipated Compliance'!V49/'Anticipated Compliance'!O49&gt;C49,'Anticipated Compliance'!O49*C49,'Anticipated Compliance'!V49),0)</f>
        <v>0</v>
      </c>
      <c r="X49" s="41">
        <f t="shared" si="48"/>
        <v>0</v>
      </c>
      <c r="Y49" s="41">
        <f t="shared" si="45"/>
        <v>12326.216339309984</v>
      </c>
      <c r="Z49" s="41">
        <f t="shared" si="51"/>
        <v>97999.578059448046</v>
      </c>
      <c r="AA49" s="9">
        <f>(Constants!Q13*I49*Constants!F13*K49*0.000001)</f>
        <v>6298.7694141442253</v>
      </c>
      <c r="AB49" s="9">
        <f>(Constants!Q13*(1-I49)*Constants!G13*K49*0.000001)</f>
        <v>0</v>
      </c>
      <c r="AC49" s="9">
        <f>(Constants!Q13*Constants!R13*J49*Constants!F13*L49*0.000001)</f>
        <v>0</v>
      </c>
      <c r="AD49" s="9">
        <f>(Constants!Q13*Constants!R13*(1-J49)*Constants!G13*L49*0.000001)</f>
        <v>0</v>
      </c>
      <c r="AE49" s="28">
        <f t="shared" si="49"/>
        <v>6298.7694141442253</v>
      </c>
      <c r="AF49" s="33">
        <f>Constants!Q13*Constants!H13*(K49+L49)/1000000</f>
        <v>1.8746337542095906</v>
      </c>
      <c r="AG49" s="43">
        <f t="shared" si="52"/>
        <v>15.408592941180947</v>
      </c>
      <c r="AH49" s="9">
        <f>Constants!Q13/Constants!L13*('Anticipated Compliance'!K49*I49)</f>
        <v>12709381.3844718</v>
      </c>
      <c r="AI49" s="9">
        <f>(Constants!Q13*Constants!R13)/Constants!L13*('Anticipated Compliance'!L49*J49)</f>
        <v>0</v>
      </c>
      <c r="AJ49" s="9">
        <f>Constants!Q13/Constants!M13*'Anticipated Compliance'!K49*(1-I49)</f>
        <v>0</v>
      </c>
      <c r="AK49" s="9">
        <f>(Constants!Q13*Constants!R13)/Constants!M13*'Anticipated Compliance'!L49*(1-J49)</f>
        <v>0</v>
      </c>
      <c r="AL49" s="9">
        <f t="shared" si="50"/>
        <v>12709.381384471801</v>
      </c>
      <c r="AM49" s="28">
        <f>(AL49*Constants!I13*Constants!K13+'Anticipated Compliance'!AL49*(1-Constants!I13)*Constants!J13)*0.000453592</f>
        <v>3520.8299917971549</v>
      </c>
      <c r="AN49" s="33">
        <f t="shared" si="46"/>
        <v>2777.9394223470704</v>
      </c>
      <c r="AO49" s="48">
        <f t="shared" si="53"/>
        <v>20329.191056184627</v>
      </c>
      <c r="AQ49" s="7"/>
    </row>
    <row r="50" spans="1:43" x14ac:dyDescent="0.25">
      <c r="A50" s="7">
        <v>2031</v>
      </c>
      <c r="B50" s="88">
        <v>0</v>
      </c>
      <c r="C50" s="82">
        <v>0</v>
      </c>
      <c r="D50" s="82">
        <v>350</v>
      </c>
      <c r="E50" s="82">
        <v>80</v>
      </c>
      <c r="F50" s="82">
        <v>350</v>
      </c>
      <c r="G50" s="82">
        <v>63</v>
      </c>
      <c r="H50" s="90">
        <v>0.03</v>
      </c>
      <c r="I50" s="90">
        <v>1</v>
      </c>
      <c r="J50" s="90">
        <v>1</v>
      </c>
      <c r="K50" s="92">
        <v>3271.4755195791822</v>
      </c>
      <c r="L50" s="93">
        <v>0</v>
      </c>
      <c r="M50" s="18"/>
      <c r="N50" s="7">
        <v>2031</v>
      </c>
      <c r="O50" s="34">
        <f>Constants!P14*Constants!B14-B50</f>
        <v>717.22431219911914</v>
      </c>
      <c r="P50" s="9">
        <f t="shared" si="39"/>
        <v>4</v>
      </c>
      <c r="Q50" s="9">
        <f t="shared" si="40"/>
        <v>1.1000000000000001</v>
      </c>
      <c r="R50" s="9">
        <f t="shared" si="41"/>
        <v>1.1060000000000001</v>
      </c>
      <c r="S50" s="9">
        <f t="shared" si="47"/>
        <v>4</v>
      </c>
      <c r="T50" s="9">
        <f t="shared" si="42"/>
        <v>1.1060000000000001</v>
      </c>
      <c r="U50" s="41">
        <f t="shared" si="43"/>
        <v>13085.902078316729</v>
      </c>
      <c r="V50" s="41">
        <f t="shared" si="44"/>
        <v>0</v>
      </c>
      <c r="W50" s="41">
        <f>IF(O50&gt;0,IF('Anticipated Compliance'!V50/'Anticipated Compliance'!O50&gt;C50,'Anticipated Compliance'!O50*C50,'Anticipated Compliance'!V50),0)</f>
        <v>0</v>
      </c>
      <c r="X50" s="41">
        <f t="shared" si="48"/>
        <v>0</v>
      </c>
      <c r="Y50" s="41">
        <f t="shared" si="45"/>
        <v>12368.677766117609</v>
      </c>
      <c r="Z50" s="41">
        <f t="shared" si="51"/>
        <v>110368.25582556566</v>
      </c>
      <c r="AA50" s="9">
        <f>(Constants!Q14*I50*Constants!F14*K50*0.000001)</f>
        <v>6320.4907038269794</v>
      </c>
      <c r="AB50" s="9">
        <f>(Constants!Q14*(1-I50)*Constants!G14*K50*0.000001)</f>
        <v>0</v>
      </c>
      <c r="AC50" s="9">
        <f>(Constants!Q14*Constants!R14*J50*Constants!F14*L50*0.000001)</f>
        <v>0</v>
      </c>
      <c r="AD50" s="9">
        <f>(Constants!Q14*Constants!R14*(1-J50)*Constants!G14*L50*0.000001)</f>
        <v>0</v>
      </c>
      <c r="AE50" s="28">
        <f t="shared" si="49"/>
        <v>6320.4907038269794</v>
      </c>
      <c r="AF50" s="33">
        <f>Constants!Q14*Constants!H14*(K50+L50)/1000000</f>
        <v>1.8810984237580297</v>
      </c>
      <c r="AG50" s="43">
        <f t="shared" si="52"/>
        <v>17.289691364938978</v>
      </c>
      <c r="AH50" s="9">
        <f>Constants!Q14/Constants!L14*('Anticipated Compliance'!K50*I50)</f>
        <v>12753209.652596811</v>
      </c>
      <c r="AI50" s="9">
        <f>(Constants!Q14*Constants!R14)/Constants!L14*('Anticipated Compliance'!L50*J50)</f>
        <v>0</v>
      </c>
      <c r="AJ50" s="9">
        <f>Constants!Q14/Constants!M14*'Anticipated Compliance'!K50*(1-I50)</f>
        <v>0</v>
      </c>
      <c r="AK50" s="9">
        <f>(Constants!Q14*Constants!R14)/Constants!M14*'Anticipated Compliance'!L50*(1-J50)</f>
        <v>0</v>
      </c>
      <c r="AL50" s="9">
        <f t="shared" si="50"/>
        <v>12753.209652596812</v>
      </c>
      <c r="AM50" s="28">
        <f>(AL50*Constants!I14*Constants!K14+'Anticipated Compliance'!AL50*(1-Constants!I14)*Constants!J14)*0.000453592</f>
        <v>3489.5744599653858</v>
      </c>
      <c r="AN50" s="33">
        <f t="shared" si="46"/>
        <v>2830.9162438615936</v>
      </c>
      <c r="AO50" s="48">
        <f t="shared" si="53"/>
        <v>23160.10730004622</v>
      </c>
      <c r="AQ50" s="7"/>
    </row>
    <row r="51" spans="1:43" x14ac:dyDescent="0.25">
      <c r="A51" s="7">
        <v>2032</v>
      </c>
      <c r="B51" s="88">
        <v>0</v>
      </c>
      <c r="C51" s="82">
        <v>0</v>
      </c>
      <c r="D51" s="82">
        <v>350</v>
      </c>
      <c r="E51" s="82">
        <v>80</v>
      </c>
      <c r="F51" s="82">
        <v>350</v>
      </c>
      <c r="G51" s="82">
        <v>66</v>
      </c>
      <c r="H51" s="90">
        <v>0.03</v>
      </c>
      <c r="I51" s="90">
        <v>1</v>
      </c>
      <c r="J51" s="90">
        <v>1</v>
      </c>
      <c r="K51" s="92">
        <v>3298.84544877598</v>
      </c>
      <c r="L51" s="93">
        <v>0</v>
      </c>
      <c r="M51" s="18"/>
      <c r="N51" s="7">
        <v>2032</v>
      </c>
      <c r="O51" s="34">
        <f>Constants!P15*Constants!B15-B51</f>
        <v>723.2269343439516</v>
      </c>
      <c r="P51" s="9">
        <f t="shared" si="39"/>
        <v>4</v>
      </c>
      <c r="Q51" s="9">
        <f t="shared" si="40"/>
        <v>1.1000000000000001</v>
      </c>
      <c r="R51" s="9">
        <f t="shared" si="41"/>
        <v>1.1060000000000001</v>
      </c>
      <c r="S51" s="9">
        <f t="shared" si="47"/>
        <v>4</v>
      </c>
      <c r="T51" s="9">
        <f t="shared" si="42"/>
        <v>1.1060000000000001</v>
      </c>
      <c r="U51" s="41">
        <f t="shared" si="43"/>
        <v>13195.38179510392</v>
      </c>
      <c r="V51" s="41">
        <f t="shared" si="44"/>
        <v>0</v>
      </c>
      <c r="W51" s="41">
        <f>IF(O51&gt;0,IF('Anticipated Compliance'!V51/'Anticipated Compliance'!O51&gt;C51,'Anticipated Compliance'!O51*C51,'Anticipated Compliance'!V51),0)</f>
        <v>0</v>
      </c>
      <c r="X51" s="41">
        <f t="shared" si="48"/>
        <v>0</v>
      </c>
      <c r="Y51" s="41">
        <f t="shared" si="45"/>
        <v>12472.154860759969</v>
      </c>
      <c r="Z51" s="41">
        <f t="shared" si="51"/>
        <v>122840.41068632563</v>
      </c>
      <c r="AA51" s="9">
        <f>(Constants!Q15*I51*Constants!F15*K51*0.000001)</f>
        <v>6373.369407035193</v>
      </c>
      <c r="AB51" s="9">
        <f>(Constants!Q15*(1-I51)*Constants!G15*K51*0.000001)</f>
        <v>0</v>
      </c>
      <c r="AC51" s="9">
        <f>(Constants!Q15*Constants!R15*J51*Constants!F15*L51*0.000001)</f>
        <v>0</v>
      </c>
      <c r="AD51" s="9">
        <f>(Constants!Q15*Constants!R15*(1-J51)*Constants!G15*L51*0.000001)</f>
        <v>0</v>
      </c>
      <c r="AE51" s="28">
        <f t="shared" si="49"/>
        <v>6373.369407035193</v>
      </c>
      <c r="AF51" s="33">
        <f>Constants!Q15*Constants!H15*(K51+L51)/1000000</f>
        <v>1.8968361330461885</v>
      </c>
      <c r="AG51" s="43">
        <f t="shared" si="52"/>
        <v>19.186527497985168</v>
      </c>
      <c r="AH51" s="9">
        <f>Constants!Q15/Constants!L15*('Anticipated Compliance'!K51*I51)</f>
        <v>12859905.98675382</v>
      </c>
      <c r="AI51" s="9">
        <f>(Constants!Q15*Constants!R15)/Constants!L15*('Anticipated Compliance'!L51*J51)</f>
        <v>0</v>
      </c>
      <c r="AJ51" s="9">
        <f>Constants!Q15/Constants!M15*'Anticipated Compliance'!K51*(1-I51)</f>
        <v>0</v>
      </c>
      <c r="AK51" s="9">
        <f>(Constants!Q15*Constants!R15)/Constants!M15*'Anticipated Compliance'!L51*(1-J51)</f>
        <v>0</v>
      </c>
      <c r="AL51" s="9">
        <f t="shared" si="50"/>
        <v>12859.90598675382</v>
      </c>
      <c r="AM51" s="28">
        <f>(AL51*Constants!I15*Constants!K15+'Anticipated Compliance'!AL51*(1-Constants!I15)*Constants!J15)*0.000453592</f>
        <v>3160.7689746694678</v>
      </c>
      <c r="AN51" s="33">
        <f t="shared" si="46"/>
        <v>3212.6004323657253</v>
      </c>
      <c r="AO51" s="48">
        <f t="shared" si="53"/>
        <v>26372.707732411945</v>
      </c>
      <c r="AQ51" s="7"/>
    </row>
    <row r="52" spans="1:43" x14ac:dyDescent="0.25">
      <c r="A52" s="7">
        <v>2033</v>
      </c>
      <c r="B52" s="88">
        <v>0</v>
      </c>
      <c r="C52" s="82">
        <v>0</v>
      </c>
      <c r="D52" s="82">
        <v>350</v>
      </c>
      <c r="E52" s="82">
        <v>80</v>
      </c>
      <c r="F52" s="82">
        <v>350</v>
      </c>
      <c r="G52" s="82">
        <v>69</v>
      </c>
      <c r="H52" s="90">
        <v>0.03</v>
      </c>
      <c r="I52" s="90">
        <v>1</v>
      </c>
      <c r="J52" s="90">
        <v>1</v>
      </c>
      <c r="K52" s="92">
        <v>3309.8311038910738</v>
      </c>
      <c r="L52" s="93">
        <v>0</v>
      </c>
      <c r="M52" s="18"/>
      <c r="N52" s="7">
        <v>2033</v>
      </c>
      <c r="O52" s="34">
        <f>Constants!P16*Constants!B16-B52</f>
        <v>725.59351838574207</v>
      </c>
      <c r="P52" s="9">
        <f t="shared" si="39"/>
        <v>4</v>
      </c>
      <c r="Q52" s="9">
        <f t="shared" si="40"/>
        <v>1.1000000000000001</v>
      </c>
      <c r="R52" s="9">
        <f t="shared" si="41"/>
        <v>1.1060000000000001</v>
      </c>
      <c r="S52" s="9">
        <f t="shared" si="47"/>
        <v>4</v>
      </c>
      <c r="T52" s="9">
        <f t="shared" si="42"/>
        <v>1.1060000000000001</v>
      </c>
      <c r="U52" s="41">
        <f t="shared" si="43"/>
        <v>13239.324415564295</v>
      </c>
      <c r="V52" s="41">
        <f t="shared" si="44"/>
        <v>0</v>
      </c>
      <c r="W52" s="41">
        <f>IF(O52&gt;0,IF('Anticipated Compliance'!V52/'Anticipated Compliance'!O52&gt;C52,'Anticipated Compliance'!O52*C52,'Anticipated Compliance'!V52),0)</f>
        <v>0</v>
      </c>
      <c r="X52" s="41">
        <f t="shared" si="48"/>
        <v>0</v>
      </c>
      <c r="Y52" s="41">
        <f t="shared" si="45"/>
        <v>12513.730897178553</v>
      </c>
      <c r="Z52" s="41">
        <f t="shared" si="51"/>
        <v>135354.14158350418</v>
      </c>
      <c r="AA52" s="9">
        <f>(Constants!Q16*I52*Constants!F16*K52*0.000001)</f>
        <v>6394.5936927175535</v>
      </c>
      <c r="AB52" s="9">
        <f>(Constants!Q16*(1-I52)*Constants!G16*K52*0.000001)</f>
        <v>0</v>
      </c>
      <c r="AC52" s="9">
        <f>(Constants!Q16*Constants!R16*J52*Constants!F16*L52*0.000001)</f>
        <v>0</v>
      </c>
      <c r="AD52" s="9">
        <f>(Constants!Q16*Constants!R16*(1-J52)*Constants!G16*L52*0.000001)</f>
        <v>0</v>
      </c>
      <c r="AE52" s="28">
        <f t="shared" si="49"/>
        <v>6394.5936927175535</v>
      </c>
      <c r="AF52" s="33">
        <f>Constants!Q16*Constants!H16*(K52+L52)/1000000</f>
        <v>1.9031528847373675</v>
      </c>
      <c r="AG52" s="43">
        <f t="shared" si="52"/>
        <v>21.089680382722534</v>
      </c>
      <c r="AH52" s="9">
        <f>Constants!Q16/Constants!L16*('Anticipated Compliance'!K52*I52)</f>
        <v>12902731.421948252</v>
      </c>
      <c r="AI52" s="9">
        <f>(Constants!Q16*Constants!R16)/Constants!L16*('Anticipated Compliance'!L52*J52)</f>
        <v>0</v>
      </c>
      <c r="AJ52" s="9">
        <f>Constants!Q16/Constants!M16*'Anticipated Compliance'!K52*(1-I52)</f>
        <v>0</v>
      </c>
      <c r="AK52" s="9">
        <f>(Constants!Q16*Constants!R16)/Constants!M16*'Anticipated Compliance'!L52*(1-J52)</f>
        <v>0</v>
      </c>
      <c r="AL52" s="9">
        <f t="shared" si="50"/>
        <v>12902.731421948252</v>
      </c>
      <c r="AM52" s="28">
        <f>(AL52*Constants!I16*Constants!K16+'Anticipated Compliance'!AL52*(1-Constants!I16)*Constants!J16)*0.000453592</f>
        <v>3317.5257562304791</v>
      </c>
      <c r="AN52" s="33">
        <f t="shared" si="46"/>
        <v>3077.0679364870743</v>
      </c>
      <c r="AO52" s="48">
        <f t="shared" si="53"/>
        <v>29449.775668899019</v>
      </c>
      <c r="AQ52" s="7"/>
    </row>
    <row r="53" spans="1:43" x14ac:dyDescent="0.25">
      <c r="A53" s="7">
        <v>2034</v>
      </c>
      <c r="B53" s="88">
        <v>0</v>
      </c>
      <c r="C53" s="82">
        <v>0</v>
      </c>
      <c r="D53" s="82">
        <v>350</v>
      </c>
      <c r="E53" s="82">
        <v>80</v>
      </c>
      <c r="F53" s="82">
        <v>350</v>
      </c>
      <c r="G53" s="82">
        <v>71</v>
      </c>
      <c r="H53" s="90">
        <v>0.03</v>
      </c>
      <c r="I53" s="90">
        <v>1</v>
      </c>
      <c r="J53" s="90">
        <v>1</v>
      </c>
      <c r="K53" s="92">
        <v>3333.125325210442</v>
      </c>
      <c r="L53" s="93">
        <v>0</v>
      </c>
      <c r="M53" s="18"/>
      <c r="N53" s="7">
        <v>2034</v>
      </c>
      <c r="O53" s="34">
        <f>Constants!P17*Constants!B17-B53</f>
        <v>730.69431117484385</v>
      </c>
      <c r="P53" s="9">
        <f t="shared" si="39"/>
        <v>4</v>
      </c>
      <c r="Q53" s="9">
        <f t="shared" si="40"/>
        <v>1.1000000000000001</v>
      </c>
      <c r="R53" s="9">
        <f t="shared" si="41"/>
        <v>1.1060000000000001</v>
      </c>
      <c r="S53" s="9">
        <f t="shared" si="47"/>
        <v>4</v>
      </c>
      <c r="T53" s="9">
        <f t="shared" si="42"/>
        <v>1.1060000000000001</v>
      </c>
      <c r="U53" s="41">
        <f t="shared" si="43"/>
        <v>13332.501300841768</v>
      </c>
      <c r="V53" s="41">
        <f t="shared" si="44"/>
        <v>0</v>
      </c>
      <c r="W53" s="41">
        <f>IF(O53&gt;0,IF('Anticipated Compliance'!V53/'Anticipated Compliance'!O53&gt;C53,'Anticipated Compliance'!O53*C53,'Anticipated Compliance'!V53),0)</f>
        <v>0</v>
      </c>
      <c r="X53" s="41">
        <f t="shared" si="48"/>
        <v>0</v>
      </c>
      <c r="Y53" s="41">
        <f t="shared" si="45"/>
        <v>12601.806989666924</v>
      </c>
      <c r="Z53" s="41">
        <f t="shared" si="51"/>
        <v>147955.9485731711</v>
      </c>
      <c r="AA53" s="9">
        <f>(Constants!Q17*I53*Constants!F17*K53*0.000001)</f>
        <v>6439.5981283065739</v>
      </c>
      <c r="AB53" s="9">
        <f>(Constants!Q17*(1-I53)*Constants!G17*K53*0.000001)</f>
        <v>0</v>
      </c>
      <c r="AC53" s="9">
        <f>(Constants!Q17*Constants!R17*J53*Constants!F17*L53*0.000001)</f>
        <v>0</v>
      </c>
      <c r="AD53" s="9">
        <f>(Constants!Q17*Constants!R17*(1-J53)*Constants!G17*L53*0.000001)</f>
        <v>0</v>
      </c>
      <c r="AE53" s="28">
        <f t="shared" si="49"/>
        <v>6439.5981283065739</v>
      </c>
      <c r="AF53" s="33">
        <f>Constants!Q17*Constants!H17*(K53+L53)/1000000</f>
        <v>1.9165470619960041</v>
      </c>
      <c r="AG53" s="43">
        <f t="shared" si="52"/>
        <v>23.006227444718537</v>
      </c>
      <c r="AH53" s="9">
        <f>Constants!Q17/Constants!L17*('Anticipated Compliance'!K53*I53)</f>
        <v>12993539.40336274</v>
      </c>
      <c r="AI53" s="9">
        <f>(Constants!Q17*Constants!R17)/Constants!L17*('Anticipated Compliance'!L53*J53)</f>
        <v>0</v>
      </c>
      <c r="AJ53" s="9">
        <f>Constants!Q17/Constants!M17*'Anticipated Compliance'!K53*(1-I53)</f>
        <v>0</v>
      </c>
      <c r="AK53" s="9">
        <f>(Constants!Q17*Constants!R17)/Constants!M17*'Anticipated Compliance'!L53*(1-J53)</f>
        <v>0</v>
      </c>
      <c r="AL53" s="9">
        <f t="shared" si="50"/>
        <v>12993.53940336274</v>
      </c>
      <c r="AM53" s="28">
        <f>(AL53*Constants!I17*Constants!K17+'Anticipated Compliance'!AL53*(1-Constants!I17)*Constants!J17)*0.000453592</f>
        <v>3330.8101240484029</v>
      </c>
      <c r="AN53" s="33">
        <f t="shared" si="46"/>
        <v>3108.788004258171</v>
      </c>
      <c r="AO53" s="48">
        <f t="shared" si="53"/>
        <v>32558.56367315719</v>
      </c>
      <c r="AQ53" s="7"/>
    </row>
    <row r="54" spans="1:43" ht="15.75" thickBot="1" x14ac:dyDescent="0.3">
      <c r="A54" s="7">
        <v>2035</v>
      </c>
      <c r="B54" s="89">
        <v>0</v>
      </c>
      <c r="C54" s="85">
        <v>0</v>
      </c>
      <c r="D54" s="85">
        <v>350</v>
      </c>
      <c r="E54" s="85">
        <v>80</v>
      </c>
      <c r="F54" s="85">
        <v>350</v>
      </c>
      <c r="G54" s="85">
        <v>74</v>
      </c>
      <c r="H54" s="91">
        <v>0.03</v>
      </c>
      <c r="I54" s="91">
        <v>1</v>
      </c>
      <c r="J54" s="91">
        <v>1</v>
      </c>
      <c r="K54" s="94">
        <v>3356.986961427137</v>
      </c>
      <c r="L54" s="95">
        <v>0</v>
      </c>
      <c r="M54" s="18"/>
      <c r="N54" s="7">
        <v>2035</v>
      </c>
      <c r="O54" s="35">
        <f>Constants!P18*Constants!B18-B54</f>
        <v>735.95019563658718</v>
      </c>
      <c r="P54" s="16">
        <f t="shared" si="39"/>
        <v>4</v>
      </c>
      <c r="Q54" s="16">
        <f t="shared" si="40"/>
        <v>1.1000000000000001</v>
      </c>
      <c r="R54" s="16">
        <f t="shared" si="41"/>
        <v>1.1060000000000001</v>
      </c>
      <c r="S54" s="27">
        <f t="shared" si="47"/>
        <v>4</v>
      </c>
      <c r="T54" s="16">
        <f t="shared" si="42"/>
        <v>1.1060000000000001</v>
      </c>
      <c r="U54" s="50">
        <f t="shared" si="43"/>
        <v>13427.947845708548</v>
      </c>
      <c r="V54" s="50">
        <f t="shared" si="44"/>
        <v>0</v>
      </c>
      <c r="W54" s="50">
        <f>IF(O54&gt;0,IF('Anticipated Compliance'!V54/'Anticipated Compliance'!O54&gt;C54,'Anticipated Compliance'!O54*C54,'Anticipated Compliance'!V54),0)</f>
        <v>0</v>
      </c>
      <c r="X54" s="50">
        <f t="shared" si="48"/>
        <v>0</v>
      </c>
      <c r="Y54" s="50">
        <f t="shared" si="45"/>
        <v>12691.99765007196</v>
      </c>
      <c r="Z54" s="50">
        <f t="shared" si="51"/>
        <v>160647.94622324305</v>
      </c>
      <c r="AA54" s="27">
        <f>(Constants!Q18*I54*Constants!F18*K54*0.000001)</f>
        <v>6485.6988094772278</v>
      </c>
      <c r="AB54" s="27">
        <f>(Constants!Q18*(1-I54)*Constants!G18*K54*0.000001)</f>
        <v>0</v>
      </c>
      <c r="AC54" s="27">
        <f>(Constants!Q18*Constants!R18*J54*Constants!F18*L54*0.000001)</f>
        <v>0</v>
      </c>
      <c r="AD54" s="27">
        <f>(Constants!Q18*Constants!R18*(1-J54)*Constants!G18*L54*0.000001)</f>
        <v>0</v>
      </c>
      <c r="AE54" s="47">
        <f t="shared" si="49"/>
        <v>6485.6988094772278</v>
      </c>
      <c r="AF54" s="36">
        <f>Constants!Q18*Constants!H18*(K54+L54)/1000000</f>
        <v>1.9302675028206038</v>
      </c>
      <c r="AG54" s="49">
        <f t="shared" si="52"/>
        <v>24.936494947539142</v>
      </c>
      <c r="AH54" s="27">
        <f>Constants!Q18/Constants!L18*('Anticipated Compliance'!K54*I54)</f>
        <v>13086559.341156635</v>
      </c>
      <c r="AI54" s="27">
        <f>(Constants!Q18*Constants!R18)/Constants!L18*('Anticipated Compliance'!L54*J54)</f>
        <v>0</v>
      </c>
      <c r="AJ54" s="27">
        <f>Constants!Q18/Constants!M18*'Anticipated Compliance'!K54*(1-I54)</f>
        <v>0</v>
      </c>
      <c r="AK54" s="27">
        <f>(Constants!Q18*Constants!R18)/Constants!M18*'Anticipated Compliance'!L54*(1-J54)</f>
        <v>0</v>
      </c>
      <c r="AL54" s="27">
        <f t="shared" si="50"/>
        <v>13086.559341156635</v>
      </c>
      <c r="AM54" s="47">
        <f>(AL54*Constants!I18*Constants!K18+'Anticipated Compliance'!AL54*(1-Constants!I18)*Constants!J18)*0.000453592</f>
        <v>3351.4039185055863</v>
      </c>
      <c r="AN54" s="36">
        <f t="shared" si="46"/>
        <v>3134.2948909716415</v>
      </c>
      <c r="AO54" s="51">
        <f t="shared" si="53"/>
        <v>35692.85856412883</v>
      </c>
      <c r="AQ54" s="7"/>
    </row>
  </sheetData>
  <sheetProtection algorithmName="SHA-512" hashValue="d6xIeHM3IoRj1SsbPKPqBNO2ltI11o9exLXeh+R62NsegwnZlsTRxuddAOHl4MlsLPxqeWHPITa5u5kUxwKzDA==" saltValue="CYZH7vHBzVF4KKFfJCULLA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B975C-4C25-4CE5-B536-6FDC5FAD5BB9}">
  <dimension ref="A1:AX54"/>
  <sheetViews>
    <sheetView zoomScale="60" zoomScaleNormal="60" workbookViewId="0"/>
  </sheetViews>
  <sheetFormatPr defaultRowHeight="15" x14ac:dyDescent="0.25"/>
  <cols>
    <col min="1" max="4" width="11.7109375" style="7" customWidth="1"/>
    <col min="5" max="5" width="13.140625" style="7" bestFit="1" customWidth="1"/>
    <col min="6" max="13" width="11.7109375" style="7" customWidth="1"/>
    <col min="14" max="14" width="14" style="7" customWidth="1"/>
    <col min="15" max="15" width="18.140625" style="7" customWidth="1"/>
    <col min="16" max="16" width="14.140625" style="7" customWidth="1"/>
    <col min="17" max="17" width="16" style="7" customWidth="1"/>
    <col min="18" max="18" width="13.5703125" style="7" customWidth="1"/>
    <col min="19" max="19" width="11.7109375" style="7" customWidth="1"/>
    <col min="20" max="20" width="16.28515625" style="7" customWidth="1"/>
    <col min="21" max="21" width="14.28515625" style="7" customWidth="1"/>
    <col min="22" max="22" width="19" style="7" customWidth="1"/>
    <col min="23" max="23" width="10.42578125" style="7" customWidth="1"/>
    <col min="24" max="24" width="13" style="9" customWidth="1"/>
    <col min="25" max="25" width="17.85546875" style="9" bestFit="1" customWidth="1"/>
    <col min="26" max="26" width="17.5703125" style="9" customWidth="1"/>
    <col min="27" max="27" width="14.85546875" style="9" customWidth="1"/>
    <col min="28" max="28" width="13" style="9" customWidth="1"/>
    <col min="29" max="29" width="14" style="9" bestFit="1" customWidth="1"/>
    <col min="30" max="30" width="19" style="9" customWidth="1"/>
    <col min="31" max="31" width="18.28515625" style="9" customWidth="1"/>
    <col min="32" max="32" width="16.42578125" style="9" bestFit="1" customWidth="1"/>
    <col min="33" max="33" width="14.5703125" style="9" customWidth="1"/>
    <col min="34" max="34" width="20" style="9" customWidth="1"/>
    <col min="35" max="35" width="12" style="9" bestFit="1" customWidth="1"/>
    <col min="36" max="37" width="12" style="9" customWidth="1"/>
    <col min="38" max="38" width="14.85546875" style="9" bestFit="1" customWidth="1"/>
    <col min="39" max="39" width="15.85546875" style="9" customWidth="1"/>
    <col min="40" max="40" width="13.85546875" style="9" customWidth="1"/>
    <col min="41" max="41" width="16.28515625" style="9" customWidth="1"/>
    <col min="42" max="42" width="12.7109375" style="9" bestFit="1" customWidth="1"/>
    <col min="43" max="43" width="12" style="9" customWidth="1"/>
    <col min="44" max="45" width="16" style="7" customWidth="1"/>
    <col min="46" max="46" width="9.140625" style="7"/>
    <col min="47" max="47" width="14.42578125" style="7" customWidth="1"/>
    <col min="48" max="48" width="13.7109375" style="7" customWidth="1"/>
    <col min="49" max="49" width="17.28515625" style="7" customWidth="1"/>
    <col min="50" max="50" width="14.5703125" style="7" customWidth="1"/>
    <col min="51" max="51" width="13.140625" style="7" customWidth="1"/>
    <col min="52" max="16384" width="9.140625" style="7"/>
  </cols>
  <sheetData>
    <row r="1" spans="1:50" ht="49.5" customHeight="1" x14ac:dyDescent="0.4">
      <c r="A1" s="9"/>
      <c r="B1" s="38" t="s">
        <v>153</v>
      </c>
      <c r="C1" s="9"/>
      <c r="D1" s="9"/>
      <c r="E1" s="9"/>
      <c r="F1" s="9"/>
      <c r="G1" s="9"/>
      <c r="H1" s="9"/>
      <c r="I1" s="9"/>
      <c r="J1" s="9"/>
      <c r="K1" s="9"/>
      <c r="L1" s="9"/>
      <c r="R1" s="37" t="s">
        <v>67</v>
      </c>
    </row>
    <row r="2" spans="1:50" ht="49.5" customHeight="1" thickBot="1" x14ac:dyDescent="0.3">
      <c r="A2" s="9"/>
      <c r="B2" s="28" t="s">
        <v>155</v>
      </c>
      <c r="C2" s="9"/>
      <c r="D2" s="9"/>
      <c r="E2" s="9"/>
      <c r="F2" s="9"/>
      <c r="G2" s="9"/>
      <c r="H2" s="9"/>
      <c r="I2" s="9"/>
      <c r="J2" s="9"/>
      <c r="K2" s="9"/>
      <c r="L2" s="9"/>
      <c r="S2" s="22"/>
      <c r="X2" s="22"/>
      <c r="AD2" s="28"/>
    </row>
    <row r="3" spans="1:50" ht="105" x14ac:dyDescent="0.25">
      <c r="A3" s="2"/>
      <c r="B3" s="29" t="s">
        <v>157</v>
      </c>
      <c r="C3" s="30" t="s">
        <v>158</v>
      </c>
      <c r="D3" s="30" t="s">
        <v>159</v>
      </c>
      <c r="E3" s="30" t="s">
        <v>160</v>
      </c>
      <c r="F3" s="30" t="s">
        <v>161</v>
      </c>
      <c r="G3" s="30" t="s">
        <v>162</v>
      </c>
      <c r="H3" s="30" t="s">
        <v>163</v>
      </c>
      <c r="I3" s="30" t="s">
        <v>164</v>
      </c>
      <c r="J3" s="30" t="s">
        <v>165</v>
      </c>
      <c r="K3" s="30" t="s">
        <v>210</v>
      </c>
      <c r="L3" s="31" t="s">
        <v>211</v>
      </c>
      <c r="M3" s="2"/>
      <c r="N3" s="5"/>
      <c r="O3" s="45" t="s">
        <v>166</v>
      </c>
      <c r="P3" s="46" t="s">
        <v>167</v>
      </c>
      <c r="Q3" s="46" t="s">
        <v>168</v>
      </c>
      <c r="R3" s="46" t="s">
        <v>169</v>
      </c>
      <c r="S3" s="46" t="s">
        <v>170</v>
      </c>
      <c r="T3" s="46" t="s">
        <v>171</v>
      </c>
      <c r="U3" s="23" t="s">
        <v>212</v>
      </c>
      <c r="V3" s="23" t="s">
        <v>213</v>
      </c>
      <c r="W3" s="23" t="s">
        <v>214</v>
      </c>
      <c r="X3" s="23" t="s">
        <v>215</v>
      </c>
      <c r="Y3" s="23" t="s">
        <v>216</v>
      </c>
      <c r="Z3" s="23" t="s">
        <v>217</v>
      </c>
      <c r="AA3" s="23" t="s">
        <v>175</v>
      </c>
      <c r="AB3" s="23" t="s">
        <v>176</v>
      </c>
      <c r="AC3" s="23" t="s">
        <v>177</v>
      </c>
      <c r="AD3" s="23" t="s">
        <v>178</v>
      </c>
      <c r="AE3" s="23" t="s">
        <v>179</v>
      </c>
      <c r="AF3" s="23" t="s">
        <v>180</v>
      </c>
      <c r="AG3" s="23" t="s">
        <v>235</v>
      </c>
      <c r="AH3" s="23" t="s">
        <v>181</v>
      </c>
      <c r="AI3" s="23" t="s">
        <v>236</v>
      </c>
      <c r="AJ3" s="23" t="s">
        <v>182</v>
      </c>
      <c r="AK3" s="23" t="s">
        <v>237</v>
      </c>
      <c r="AL3" s="23" t="s">
        <v>183</v>
      </c>
      <c r="AM3" s="23" t="s">
        <v>184</v>
      </c>
      <c r="AN3" s="23" t="s">
        <v>185</v>
      </c>
      <c r="AO3" s="24" t="s">
        <v>186</v>
      </c>
      <c r="AP3" s="2"/>
      <c r="AQ3" s="7"/>
      <c r="AR3" s="23" t="s">
        <v>218</v>
      </c>
      <c r="AS3" s="23" t="s">
        <v>179</v>
      </c>
      <c r="AT3" s="23" t="s">
        <v>184</v>
      </c>
      <c r="AU3" s="23" t="s">
        <v>185</v>
      </c>
      <c r="AV3" s="23" t="s">
        <v>186</v>
      </c>
      <c r="AW3" s="23" t="s">
        <v>180</v>
      </c>
      <c r="AX3" s="24" t="s">
        <v>235</v>
      </c>
    </row>
    <row r="4" spans="1:50" s="1" customFormat="1" ht="30" x14ac:dyDescent="0.25">
      <c r="A4" s="3"/>
      <c r="B4" s="13" t="s">
        <v>45</v>
      </c>
      <c r="C4" s="3" t="s">
        <v>47</v>
      </c>
      <c r="D4" s="3" t="s">
        <v>188</v>
      </c>
      <c r="E4" s="3" t="s">
        <v>51</v>
      </c>
      <c r="F4" s="3" t="s">
        <v>53</v>
      </c>
      <c r="G4" s="3" t="s">
        <v>55</v>
      </c>
      <c r="H4" s="3" t="s">
        <v>57</v>
      </c>
      <c r="I4" s="3" t="s">
        <v>59</v>
      </c>
      <c r="J4" s="3" t="s">
        <v>61</v>
      </c>
      <c r="K4" s="12" t="s">
        <v>63</v>
      </c>
      <c r="L4" s="32" t="s">
        <v>65</v>
      </c>
      <c r="M4" s="2"/>
      <c r="N4" s="5"/>
      <c r="O4" s="19" t="s">
        <v>189</v>
      </c>
      <c r="P4" s="12" t="s">
        <v>69</v>
      </c>
      <c r="Q4" s="12" t="s">
        <v>71</v>
      </c>
      <c r="R4" s="12" t="s">
        <v>73</v>
      </c>
      <c r="S4" s="12" t="s">
        <v>190</v>
      </c>
      <c r="T4" s="12" t="s">
        <v>191</v>
      </c>
      <c r="U4" s="12" t="s">
        <v>114</v>
      </c>
      <c r="V4" s="3" t="s">
        <v>116</v>
      </c>
      <c r="W4" s="12" t="s">
        <v>117</v>
      </c>
      <c r="X4" s="12" t="s">
        <v>119</v>
      </c>
      <c r="Y4" s="12" t="s">
        <v>120</v>
      </c>
      <c r="Z4" s="12" t="s">
        <v>121</v>
      </c>
      <c r="AA4" s="12" t="s">
        <v>85</v>
      </c>
      <c r="AB4" s="12" t="s">
        <v>87</v>
      </c>
      <c r="AC4" s="12" t="s">
        <v>89</v>
      </c>
      <c r="AD4" s="12" t="s">
        <v>91</v>
      </c>
      <c r="AE4" s="12" t="s">
        <v>93</v>
      </c>
      <c r="AF4" s="12" t="s">
        <v>192</v>
      </c>
      <c r="AG4" s="12" t="s">
        <v>96</v>
      </c>
      <c r="AH4" s="12" t="s">
        <v>98</v>
      </c>
      <c r="AI4" s="12" t="s">
        <v>100</v>
      </c>
      <c r="AJ4" s="12" t="s">
        <v>102</v>
      </c>
      <c r="AK4" s="12" t="s">
        <v>104</v>
      </c>
      <c r="AL4" s="12" t="s">
        <v>106</v>
      </c>
      <c r="AM4" s="12" t="s">
        <v>108</v>
      </c>
      <c r="AN4" s="12" t="s">
        <v>110</v>
      </c>
      <c r="AO4" s="32" t="s">
        <v>112</v>
      </c>
      <c r="AP4" s="2"/>
      <c r="AQ4" s="7"/>
      <c r="AR4" s="12" t="s">
        <v>93</v>
      </c>
      <c r="AS4" s="12" t="s">
        <v>93</v>
      </c>
      <c r="AT4" s="12" t="s">
        <v>108</v>
      </c>
      <c r="AU4" s="12" t="s">
        <v>110</v>
      </c>
      <c r="AV4" s="12" t="s">
        <v>112</v>
      </c>
      <c r="AW4" s="12" t="s">
        <v>192</v>
      </c>
      <c r="AX4" s="32" t="s">
        <v>96</v>
      </c>
    </row>
    <row r="5" spans="1:50" s="8" customFormat="1" ht="24" x14ac:dyDescent="0.2">
      <c r="A5" s="17"/>
      <c r="B5" s="20" t="s">
        <v>193</v>
      </c>
      <c r="C5" s="17" t="s">
        <v>148</v>
      </c>
      <c r="D5" s="17" t="s">
        <v>194</v>
      </c>
      <c r="E5" s="17" t="s">
        <v>195</v>
      </c>
      <c r="F5" s="17" t="s">
        <v>196</v>
      </c>
      <c r="G5" s="17" t="s">
        <v>197</v>
      </c>
      <c r="H5" s="17" t="s">
        <v>148</v>
      </c>
      <c r="I5" s="17" t="s">
        <v>148</v>
      </c>
      <c r="J5" s="17" t="s">
        <v>148</v>
      </c>
      <c r="K5" s="17" t="s">
        <v>223</v>
      </c>
      <c r="L5" s="21" t="s">
        <v>223</v>
      </c>
      <c r="M5" s="17"/>
      <c r="N5" s="6"/>
      <c r="O5" s="20" t="s">
        <v>193</v>
      </c>
      <c r="P5" s="10" t="s">
        <v>198</v>
      </c>
      <c r="Q5" s="10" t="s">
        <v>198</v>
      </c>
      <c r="R5" s="10" t="s">
        <v>198</v>
      </c>
      <c r="S5" s="10" t="s">
        <v>193</v>
      </c>
      <c r="T5" s="10" t="s">
        <v>193</v>
      </c>
      <c r="U5" s="10" t="s">
        <v>193</v>
      </c>
      <c r="V5" s="10" t="s">
        <v>193</v>
      </c>
      <c r="W5" s="10" t="s">
        <v>193</v>
      </c>
      <c r="X5" s="10" t="s">
        <v>193</v>
      </c>
      <c r="Y5" s="10" t="s">
        <v>193</v>
      </c>
      <c r="Z5" s="10" t="s">
        <v>193</v>
      </c>
      <c r="AA5" s="10" t="s">
        <v>201</v>
      </c>
      <c r="AB5" s="10" t="s">
        <v>201</v>
      </c>
      <c r="AC5" s="10" t="s">
        <v>201</v>
      </c>
      <c r="AD5" s="10" t="s">
        <v>201</v>
      </c>
      <c r="AE5" s="10" t="s">
        <v>201</v>
      </c>
      <c r="AF5" s="10" t="s">
        <v>202</v>
      </c>
      <c r="AG5" s="10" t="s">
        <v>202</v>
      </c>
      <c r="AH5" s="10" t="s">
        <v>203</v>
      </c>
      <c r="AI5" s="10" t="s">
        <v>203</v>
      </c>
      <c r="AJ5" s="10" t="s">
        <v>203</v>
      </c>
      <c r="AK5" s="10" t="s">
        <v>203</v>
      </c>
      <c r="AL5" s="10" t="s">
        <v>204</v>
      </c>
      <c r="AM5" s="10" t="s">
        <v>205</v>
      </c>
      <c r="AN5" s="10" t="s">
        <v>205</v>
      </c>
      <c r="AO5" s="25" t="s">
        <v>206</v>
      </c>
      <c r="AP5" s="10"/>
      <c r="AR5" s="10" t="s">
        <v>201</v>
      </c>
      <c r="AS5" s="10" t="s">
        <v>201</v>
      </c>
      <c r="AT5" s="10" t="s">
        <v>205</v>
      </c>
      <c r="AU5" s="10" t="s">
        <v>206</v>
      </c>
      <c r="AV5" s="10" t="s">
        <v>206</v>
      </c>
      <c r="AW5" s="10" t="s">
        <v>202</v>
      </c>
      <c r="AX5" s="25" t="s">
        <v>207</v>
      </c>
    </row>
    <row r="6" spans="1:50" x14ac:dyDescent="0.25">
      <c r="A6" s="26">
        <v>2023</v>
      </c>
      <c r="B6" s="88">
        <v>0</v>
      </c>
      <c r="C6" s="82">
        <v>0.29411764705882359</v>
      </c>
      <c r="D6" s="82">
        <v>350</v>
      </c>
      <c r="E6" s="82">
        <v>53</v>
      </c>
      <c r="F6" s="82">
        <v>350</v>
      </c>
      <c r="G6" s="82">
        <v>41</v>
      </c>
      <c r="H6" s="90">
        <v>0.03</v>
      </c>
      <c r="I6" s="90">
        <v>1</v>
      </c>
      <c r="J6" s="90">
        <v>1</v>
      </c>
      <c r="K6" s="92">
        <v>466.82282607399378</v>
      </c>
      <c r="L6" s="96">
        <v>582.6818181818162</v>
      </c>
      <c r="M6" s="18"/>
      <c r="N6" s="61">
        <v>2023</v>
      </c>
      <c r="O6" s="34">
        <f>Constants!N6*Constants!B6-B6</f>
        <v>0</v>
      </c>
      <c r="P6" s="9">
        <f t="shared" ref="P6:P18" si="0">(D6*0.01+0.5)*I6+(F6*0.01+0.5)*(1-I6)</f>
        <v>4</v>
      </c>
      <c r="Q6" s="9">
        <f t="shared" ref="Q6:Q18" si="1">(E6*0.01+0.3)*J6+(G6*0.01+0.3)*(1-J6)</f>
        <v>0.83000000000000007</v>
      </c>
      <c r="R6" s="9">
        <f t="shared" ref="R6:R18" si="2">Q6+0.2*H6</f>
        <v>0.83600000000000008</v>
      </c>
      <c r="S6" s="9">
        <f>IF(P6&gt;4,4,P6)</f>
        <v>4</v>
      </c>
      <c r="T6" s="9">
        <f t="shared" ref="T6:T18" si="3">IF(H6=0,IF(R6&gt;1.1,1.1,R6),IF(R6&gt;1.3,1.3,R6))</f>
        <v>0.83600000000000008</v>
      </c>
      <c r="U6" s="41">
        <f t="shared" ref="U6:V18" si="4">S6*K6</f>
        <v>1867.2913042959751</v>
      </c>
      <c r="V6" s="41">
        <f t="shared" si="4"/>
        <v>487.12199999999837</v>
      </c>
      <c r="W6" s="41">
        <f>IF(O6&gt;0,IF(BAU!V6/BAU!O6&gt;C6,BAU!O6*C6,BAU!V6),0)</f>
        <v>0</v>
      </c>
      <c r="X6" s="41">
        <f>V6-W6</f>
        <v>487.12199999999837</v>
      </c>
      <c r="Y6" s="41">
        <f t="shared" ref="Y6:Y18" si="5">U6-(O6-W6)</f>
        <v>1867.2913042959751</v>
      </c>
      <c r="Z6" s="41">
        <f>X6+Y6</f>
        <v>2354.4133042959734</v>
      </c>
      <c r="AA6" s="9">
        <f>(Constants!Q6*I6*Constants!F6*K6*0.000001)</f>
        <v>950.21786247361433</v>
      </c>
      <c r="AB6" s="9">
        <f>(Constants!Q6*(1-I6)*Constants!G6*K6*0.000001)</f>
        <v>0</v>
      </c>
      <c r="AC6" s="9">
        <f>(Constants!Q6*Constants!R6*J6*Constants!F6*L6*0.000001)</f>
        <v>889.53663068181515</v>
      </c>
      <c r="AD6" s="9">
        <f>(Constants!Q6*Constants!R6*(1-J6)*Constants!G6*L6*0.000001)</f>
        <v>0</v>
      </c>
      <c r="AE6" s="28">
        <f>AA6+AB6+AC6+AD6</f>
        <v>1839.7544931554294</v>
      </c>
      <c r="AF6" s="33">
        <f>Constants!Q6*Constants!H6*(K6+L6)/1000000</f>
        <v>0.76036611476333438</v>
      </c>
      <c r="AG6" s="43">
        <f>AF6</f>
        <v>0.76036611476333438</v>
      </c>
      <c r="AH6" s="9">
        <f>Constants!Q6/Constants!L6*(BAU!K6*I6)</f>
        <v>1819817.7965596367</v>
      </c>
      <c r="AI6" s="9">
        <f>(Constants!Q6*Constants!R6)/Constants!L6*(BAU!L6*J6)</f>
        <v>1703603.6209553098</v>
      </c>
      <c r="AJ6" s="9">
        <f>Constants!Q6/Constants!M6*BAU!K6*(1-I6)</f>
        <v>0</v>
      </c>
      <c r="AK6" s="9">
        <f>(Constants!Q6*Constants!R6)/Constants!M6*BAU!L6*(1-J6)</f>
        <v>0</v>
      </c>
      <c r="AL6" s="9">
        <f>(AH6+AI6+AJ6+AK6)*0.001</f>
        <v>3523.4214175149464</v>
      </c>
      <c r="AM6" s="28">
        <f>(AL6*Constants!I6*Constants!K6+BAU!AL6*(1-Constants!I6)*Constants!J6)*0.000453592</f>
        <v>1136.2619993275159</v>
      </c>
      <c r="AN6" s="33">
        <f t="shared" ref="AN6:AN18" si="6">AE6-AM6</f>
        <v>703.49249382791345</v>
      </c>
      <c r="AO6" s="48">
        <f>AN6</f>
        <v>703.49249382791345</v>
      </c>
      <c r="AQ6" s="7">
        <v>2023</v>
      </c>
      <c r="AR6" s="58">
        <f>(K6+L6+K24+L24+K42+L42)/(Constants!N6+Constants!O6+Constants!P6)</f>
        <v>3.5784096777426902E-2</v>
      </c>
      <c r="AS6" s="53">
        <f t="shared" ref="AS6:AS18" si="7">AE6+AE24+AE42</f>
        <v>8231.9836804780916</v>
      </c>
      <c r="AT6" s="53">
        <f t="shared" ref="AT6:AV18" si="8">AM6+AM24+AM42</f>
        <v>5084.2056752739154</v>
      </c>
      <c r="AU6" s="53">
        <f t="shared" si="8"/>
        <v>3147.7780052041758</v>
      </c>
      <c r="AV6" s="53">
        <f t="shared" si="8"/>
        <v>3147.7780052041758</v>
      </c>
      <c r="AW6" s="53">
        <f t="shared" ref="AW6:AW18" si="9">AF6+AF24+AF42</f>
        <v>3.047292805570784</v>
      </c>
      <c r="AX6" s="54">
        <f>(AG6+AG24+AG42)*1.10231</f>
        <v>3.3590613325087304</v>
      </c>
    </row>
    <row r="7" spans="1:50" x14ac:dyDescent="0.25">
      <c r="A7" s="26">
        <v>2024</v>
      </c>
      <c r="B7" s="88">
        <v>0</v>
      </c>
      <c r="C7" s="82">
        <v>0.28205128205128205</v>
      </c>
      <c r="D7" s="82">
        <v>350</v>
      </c>
      <c r="E7" s="82">
        <v>57</v>
      </c>
      <c r="F7" s="82">
        <v>350</v>
      </c>
      <c r="G7" s="82">
        <v>44</v>
      </c>
      <c r="H7" s="90">
        <v>0.03</v>
      </c>
      <c r="I7" s="90">
        <v>1</v>
      </c>
      <c r="J7" s="90">
        <v>1</v>
      </c>
      <c r="K7" s="92">
        <v>527.80686732349955</v>
      </c>
      <c r="L7" s="96">
        <v>626.56363636364119</v>
      </c>
      <c r="M7" s="18"/>
      <c r="N7" s="61">
        <v>2024</v>
      </c>
      <c r="O7" s="34">
        <f>Constants!N7*Constants!B7-B7</f>
        <v>0</v>
      </c>
      <c r="P7" s="9">
        <f t="shared" si="0"/>
        <v>4</v>
      </c>
      <c r="Q7" s="9">
        <f t="shared" si="1"/>
        <v>0.87000000000000011</v>
      </c>
      <c r="R7" s="9">
        <f t="shared" si="2"/>
        <v>0.87600000000000011</v>
      </c>
      <c r="S7" s="9">
        <f t="shared" ref="S7:S18" si="10">IF(P7&gt;4,4,P7)</f>
        <v>4</v>
      </c>
      <c r="T7" s="9">
        <f t="shared" si="3"/>
        <v>0.87600000000000011</v>
      </c>
      <c r="U7" s="41">
        <f t="shared" si="4"/>
        <v>2111.2274692939982</v>
      </c>
      <c r="V7" s="41">
        <f t="shared" si="4"/>
        <v>548.86974545454973</v>
      </c>
      <c r="W7" s="41">
        <f>IF(O7&gt;0,IF(BAU!V7/BAU!O7&gt;C7,BAU!O7*C7,BAU!V7),0)</f>
        <v>0</v>
      </c>
      <c r="X7" s="41">
        <f t="shared" ref="X7:X18" si="11">V7-W7</f>
        <v>548.86974545454973</v>
      </c>
      <c r="Y7" s="41">
        <f t="shared" si="5"/>
        <v>2111.2274692939982</v>
      </c>
      <c r="Z7" s="41">
        <f>Z6+X7+Y7</f>
        <v>5014.5105190445211</v>
      </c>
      <c r="AA7" s="9">
        <f>(Constants!Q7*I7*Constants!F7*K7*0.000001)</f>
        <v>1056.1415415143226</v>
      </c>
      <c r="AB7" s="9">
        <f>(Constants!Q7*(1-I7)*Constants!G7*K7*0.000001)</f>
        <v>0</v>
      </c>
      <c r="AC7" s="9">
        <f>(Constants!Q7*Constants!R7*J7*Constants!F7*L7*0.000001)</f>
        <v>940.31537727273451</v>
      </c>
      <c r="AD7" s="9">
        <f>(Constants!Q7*Constants!R7*(1-J7)*Constants!G7*L7*0.000001)</f>
        <v>0</v>
      </c>
      <c r="AE7" s="28">
        <f t="shared" ref="AE7:AE18" si="12">AA7+AB7+AC7+AD7</f>
        <v>1996.456918787057</v>
      </c>
      <c r="AF7" s="33">
        <f>Constants!Q7*Constants!H7*(K7+L7)/1000000</f>
        <v>0.75668986516692072</v>
      </c>
      <c r="AG7" s="43">
        <f>AG6+AF7</f>
        <v>1.5170559799302552</v>
      </c>
      <c r="AH7" s="9">
        <f>Constants!Q7/Constants!L7*(BAU!K7*I7)</f>
        <v>2057552.1946509304</v>
      </c>
      <c r="AI7" s="9">
        <f>(Constants!Q7*Constants!R7)/Constants!L7*(BAU!L7*J7)</f>
        <v>1831902.1571648829</v>
      </c>
      <c r="AJ7" s="9">
        <f>Constants!Q7/Constants!M7*BAU!K7*(1-I7)</f>
        <v>0</v>
      </c>
      <c r="AK7" s="9">
        <f>(Constants!Q7*Constants!R7)/Constants!M7*BAU!L7*(1-J7)</f>
        <v>0</v>
      </c>
      <c r="AL7" s="9">
        <f t="shared" ref="AL7:AL18" si="13">(AH7+AI7+AJ7+AK7)*0.001</f>
        <v>3889.4543518158134</v>
      </c>
      <c r="AM7" s="28">
        <f>(AL7*Constants!I7*Constants!K7+BAU!AL7*(1-Constants!I7)*Constants!J7)*0.000453592</f>
        <v>1212.9473735748802</v>
      </c>
      <c r="AN7" s="33">
        <f t="shared" si="6"/>
        <v>783.50954521217682</v>
      </c>
      <c r="AO7" s="48">
        <f>AN7+AO6</f>
        <v>1487.0020390400903</v>
      </c>
      <c r="AQ7" s="7">
        <v>2024</v>
      </c>
      <c r="AR7" s="58">
        <f>(K7+L7+K25+L25+K43+L43)/(Constants!N7+Constants!O7+Constants!P7)</f>
        <v>3.6637900176979953E-2</v>
      </c>
      <c r="AS7" s="53">
        <f t="shared" si="7"/>
        <v>8336.447671531887</v>
      </c>
      <c r="AT7" s="53">
        <f t="shared" si="8"/>
        <v>5064.8086682843887</v>
      </c>
      <c r="AU7" s="53">
        <f t="shared" si="8"/>
        <v>3271.6390032474983</v>
      </c>
      <c r="AV7" s="53">
        <f t="shared" si="8"/>
        <v>6419.4170084516736</v>
      </c>
      <c r="AW7" s="53">
        <f t="shared" si="9"/>
        <v>2.8449920671632678</v>
      </c>
      <c r="AX7" s="54">
        <f t="shared" ref="AX7:AX18" si="14">(AG7+AG25+AG43)*1.10231</f>
        <v>6.4951245380634726</v>
      </c>
    </row>
    <row r="8" spans="1:50" x14ac:dyDescent="0.25">
      <c r="A8" s="26">
        <v>2025</v>
      </c>
      <c r="B8" s="88">
        <v>0</v>
      </c>
      <c r="C8" s="82">
        <v>0.27272727272727271</v>
      </c>
      <c r="D8" s="82">
        <v>350</v>
      </c>
      <c r="E8" s="82">
        <v>60</v>
      </c>
      <c r="F8" s="82">
        <v>350</v>
      </c>
      <c r="G8" s="82">
        <v>47</v>
      </c>
      <c r="H8" s="90">
        <v>0.03</v>
      </c>
      <c r="I8" s="90">
        <v>0.9</v>
      </c>
      <c r="J8" s="90">
        <v>0.9</v>
      </c>
      <c r="K8" s="92">
        <v>597.11377489920403</v>
      </c>
      <c r="L8" s="96">
        <v>670.445454545453</v>
      </c>
      <c r="M8" s="18"/>
      <c r="N8" s="61">
        <v>2025</v>
      </c>
      <c r="O8" s="34">
        <f>Constants!N8*Constants!B8-B8</f>
        <v>23637.013930144421</v>
      </c>
      <c r="P8" s="9">
        <f t="shared" si="0"/>
        <v>4</v>
      </c>
      <c r="Q8" s="9">
        <f t="shared" si="1"/>
        <v>0.8869999999999999</v>
      </c>
      <c r="R8" s="9">
        <f t="shared" si="2"/>
        <v>0.8929999999999999</v>
      </c>
      <c r="S8" s="9">
        <f t="shared" si="10"/>
        <v>4</v>
      </c>
      <c r="T8" s="9">
        <f t="shared" si="3"/>
        <v>0.8929999999999999</v>
      </c>
      <c r="U8" s="41">
        <f t="shared" si="4"/>
        <v>2388.4550995968161</v>
      </c>
      <c r="V8" s="41">
        <f t="shared" si="4"/>
        <v>598.70779090908945</v>
      </c>
      <c r="W8" s="41">
        <f>IF(O8&gt;0,IF(BAU!V8/BAU!O8&gt;C8,BAU!O8*C8,BAU!V8),0)</f>
        <v>598.70779090908945</v>
      </c>
      <c r="X8" s="41">
        <f t="shared" si="11"/>
        <v>0</v>
      </c>
      <c r="Y8" s="41">
        <f t="shared" si="5"/>
        <v>-20649.851039638517</v>
      </c>
      <c r="Z8" s="41">
        <f t="shared" ref="Z8:Z18" si="15">Z7+X8+Y8</f>
        <v>-15635.340520593996</v>
      </c>
      <c r="AA8" s="9">
        <f>(Constants!Q8*I8*Constants!F8*K8*0.000001)</f>
        <v>1056.8018145053563</v>
      </c>
      <c r="AB8" s="9">
        <f>(Constants!Q8*(1-I8)*Constants!G8*K8*0.000001)</f>
        <v>169.61016776011886</v>
      </c>
      <c r="AC8" s="9">
        <f>(Constants!Q8*Constants!R8*J8*Constants!F8*L8*0.000001)</f>
        <v>889.94091579545238</v>
      </c>
      <c r="AD8" s="9">
        <f>(Constants!Q8*Constants!R8*(1-J8)*Constants!G8*L8*0.000001)</f>
        <v>142.83002352272689</v>
      </c>
      <c r="AE8" s="28">
        <f t="shared" si="12"/>
        <v>2259.1829215836547</v>
      </c>
      <c r="AF8" s="33">
        <f>Constants!Q8*Constants!H8*(K8+L8)/1000000</f>
        <v>0.72884655693067768</v>
      </c>
      <c r="AG8" s="43">
        <f t="shared" ref="AG8:AG18" si="16">AG7+AF8</f>
        <v>2.2459025368609327</v>
      </c>
      <c r="AH8" s="9">
        <f>Constants!Q8/Constants!L8*(BAU!K8*I8)</f>
        <v>2094958.4983751732</v>
      </c>
      <c r="AI8" s="9">
        <f>(Constants!Q8*Constants!R8)/Constants!L8*(BAU!L8*J8)</f>
        <v>1764180.6240369757</v>
      </c>
      <c r="AJ8" s="9">
        <f>Constants!Q8/Constants!M8*BAU!K8*(1-I8)</f>
        <v>245243.15754788736</v>
      </c>
      <c r="AK8" s="9">
        <f>(Constants!Q8*Constants!R8)/Constants!M8*BAU!L8*(1-J8)</f>
        <v>206521.14448051897</v>
      </c>
      <c r="AL8" s="9">
        <f t="shared" si="13"/>
        <v>4310.9034244405557</v>
      </c>
      <c r="AM8" s="28">
        <f>(AL8*Constants!I8*Constants!K8+BAU!AL8*(1-Constants!I8)*Constants!J8)*0.000453592</f>
        <v>1316.5660689241668</v>
      </c>
      <c r="AN8" s="33">
        <f t="shared" si="6"/>
        <v>942.6168526594879</v>
      </c>
      <c r="AO8" s="48">
        <f t="shared" ref="AO8:AO18" si="17">AN8+AO7</f>
        <v>2429.6188916995779</v>
      </c>
      <c r="AQ8" s="7">
        <v>2025</v>
      </c>
      <c r="AR8" s="58">
        <f>(K8+L8+K26+L26+K44+L44)/(Constants!N8+Constants!O8+Constants!P8)</f>
        <v>3.740736332673264E-2</v>
      </c>
      <c r="AS8" s="53">
        <f t="shared" si="7"/>
        <v>8622.595113254858</v>
      </c>
      <c r="AT8" s="53">
        <f t="shared" si="8"/>
        <v>5169.0984150772956</v>
      </c>
      <c r="AU8" s="53">
        <f t="shared" si="8"/>
        <v>3453.4966981775628</v>
      </c>
      <c r="AV8" s="53">
        <f t="shared" si="8"/>
        <v>9872.9137066292369</v>
      </c>
      <c r="AW8" s="53">
        <f t="shared" si="9"/>
        <v>2.6002019003884991</v>
      </c>
      <c r="AX8" s="54">
        <f t="shared" si="14"/>
        <v>9.3613530948807178</v>
      </c>
    </row>
    <row r="9" spans="1:50" x14ac:dyDescent="0.25">
      <c r="A9" s="26">
        <v>2026</v>
      </c>
      <c r="B9" s="88">
        <v>0</v>
      </c>
      <c r="C9" s="82">
        <v>0.27272727272727271</v>
      </c>
      <c r="D9" s="82">
        <v>350</v>
      </c>
      <c r="E9" s="82">
        <v>64</v>
      </c>
      <c r="F9" s="82">
        <v>350</v>
      </c>
      <c r="G9" s="82">
        <v>50</v>
      </c>
      <c r="H9" s="90">
        <v>0.03</v>
      </c>
      <c r="I9" s="90">
        <v>0.9</v>
      </c>
      <c r="J9" s="90">
        <v>0.9</v>
      </c>
      <c r="K9" s="92">
        <v>670.80698356619155</v>
      </c>
      <c r="L9" s="96">
        <v>714.32727272727789</v>
      </c>
      <c r="M9" s="18"/>
      <c r="N9" s="61">
        <v>2026</v>
      </c>
      <c r="O9" s="34">
        <f>Constants!N9*Constants!B9-B9</f>
        <v>24184.866495954113</v>
      </c>
      <c r="P9" s="9">
        <f t="shared" si="0"/>
        <v>4</v>
      </c>
      <c r="Q9" s="9">
        <f t="shared" si="1"/>
        <v>0.92599999999999993</v>
      </c>
      <c r="R9" s="9">
        <f t="shared" si="2"/>
        <v>0.93199999999999994</v>
      </c>
      <c r="S9" s="9">
        <f t="shared" si="10"/>
        <v>4</v>
      </c>
      <c r="T9" s="9">
        <f t="shared" si="3"/>
        <v>0.93199999999999994</v>
      </c>
      <c r="U9" s="41">
        <f t="shared" si="4"/>
        <v>2683.2279342647662</v>
      </c>
      <c r="V9" s="41">
        <f t="shared" si="4"/>
        <v>665.75301818182299</v>
      </c>
      <c r="W9" s="41">
        <f>IF(O9&gt;0,IF(BAU!V9/BAU!O9&gt;C9,BAU!O9*C9,BAU!V9),0)</f>
        <v>665.75301818182299</v>
      </c>
      <c r="X9" s="41">
        <f t="shared" si="11"/>
        <v>0</v>
      </c>
      <c r="Y9" s="41">
        <f t="shared" si="5"/>
        <v>-20835.885543507524</v>
      </c>
      <c r="Z9" s="41">
        <f t="shared" si="15"/>
        <v>-36471.226064101516</v>
      </c>
      <c r="AA9" s="9">
        <f>(Constants!Q9*I9*Constants!F9*K9*0.000001)</f>
        <v>1166.3991830248938</v>
      </c>
      <c r="AB9" s="9">
        <f>(Constants!Q9*(1-I9)*Constants!G9*K9*0.000001)</f>
        <v>187.45701155757217</v>
      </c>
      <c r="AC9" s="9">
        <f>(Constants!Q9*Constants!R9*J9*Constants!F9*L9*0.000001)</f>
        <v>931.55419636364297</v>
      </c>
      <c r="AD9" s="9">
        <f>(Constants!Q9*Constants!R9*(1-J9)*Constants!G9*L9*0.000001)</f>
        <v>149.71406727272833</v>
      </c>
      <c r="AE9" s="28">
        <f t="shared" si="12"/>
        <v>2435.1244582188369</v>
      </c>
      <c r="AF9" s="33">
        <f>Constants!Q9*Constants!H9*(K9+L9)/1000000</f>
        <v>0.79645219736874484</v>
      </c>
      <c r="AG9" s="43">
        <f t="shared" si="16"/>
        <v>3.0423547342296775</v>
      </c>
      <c r="AH9" s="9">
        <f>Constants!Q9/Constants!L9*(BAU!K9*I9)</f>
        <v>2353509.2474271469</v>
      </c>
      <c r="AI9" s="9">
        <f>(Constants!Q9*Constants!R9)/Constants!L9*(BAU!L9*J9)</f>
        <v>1879649.3066255911</v>
      </c>
      <c r="AJ9" s="9">
        <f>Constants!Q9/Constants!M9*BAU!K9*(1-I9)</f>
        <v>275510.01110754296</v>
      </c>
      <c r="AK9" s="9">
        <f>(Constants!Q9*Constants!R9)/Constants!M9*BAU!L9*(1-J9)</f>
        <v>220038.31168831326</v>
      </c>
      <c r="AL9" s="9">
        <f t="shared" si="13"/>
        <v>4728.7068768485942</v>
      </c>
      <c r="AM9" s="28">
        <f>(AL9*Constants!I9*Constants!K9+BAU!AL9*(1-Constants!I9)*Constants!J9)*0.000453592</f>
        <v>1438.9278679844178</v>
      </c>
      <c r="AN9" s="33">
        <f t="shared" si="6"/>
        <v>996.19659023441909</v>
      </c>
      <c r="AO9" s="48">
        <f t="shared" si="17"/>
        <v>3425.815481933997</v>
      </c>
      <c r="AQ9" s="7">
        <v>2026</v>
      </c>
      <c r="AR9" s="58">
        <f>(K9+L9+K27+L27+K45+L45)/(Constants!N9+Constants!O9+Constants!P9)</f>
        <v>3.9164750073218776E-2</v>
      </c>
      <c r="AS9" s="53">
        <f t="shared" si="7"/>
        <v>9079.8441197459797</v>
      </c>
      <c r="AT9" s="53">
        <f t="shared" si="8"/>
        <v>5518.7571920898536</v>
      </c>
      <c r="AU9" s="53">
        <f t="shared" si="8"/>
        <v>3561.0869276561252</v>
      </c>
      <c r="AV9" s="53">
        <f t="shared" si="8"/>
        <v>13434.000634285363</v>
      </c>
      <c r="AW9" s="53">
        <f t="shared" si="9"/>
        <v>2.7854567286674077</v>
      </c>
      <c r="AX9" s="54">
        <f t="shared" si="14"/>
        <v>12.431789901458089</v>
      </c>
    </row>
    <row r="10" spans="1:50" x14ac:dyDescent="0.25">
      <c r="A10" s="26">
        <v>2027</v>
      </c>
      <c r="B10" s="88">
        <v>0</v>
      </c>
      <c r="C10" s="82">
        <v>0.27272727272727271</v>
      </c>
      <c r="D10" s="82">
        <v>350</v>
      </c>
      <c r="E10" s="82">
        <v>68</v>
      </c>
      <c r="F10" s="82">
        <v>350</v>
      </c>
      <c r="G10" s="82">
        <v>52</v>
      </c>
      <c r="H10" s="90">
        <v>0.03</v>
      </c>
      <c r="I10" s="90">
        <v>0.8</v>
      </c>
      <c r="J10" s="90">
        <v>0.8</v>
      </c>
      <c r="K10" s="92">
        <v>731.71151644010672</v>
      </c>
      <c r="L10" s="96">
        <v>758.2090909090897</v>
      </c>
      <c r="M10" s="18"/>
      <c r="N10" s="61">
        <v>2027</v>
      </c>
      <c r="O10" s="34">
        <f>Constants!N10*Constants!B10-B10</f>
        <v>24219.656990679094</v>
      </c>
      <c r="P10" s="9">
        <f t="shared" si="0"/>
        <v>4</v>
      </c>
      <c r="Q10" s="9">
        <f t="shared" si="1"/>
        <v>0.94799999999999995</v>
      </c>
      <c r="R10" s="9">
        <f t="shared" si="2"/>
        <v>0.95399999999999996</v>
      </c>
      <c r="S10" s="9">
        <f t="shared" si="10"/>
        <v>4</v>
      </c>
      <c r="T10" s="9">
        <f t="shared" si="3"/>
        <v>0.95399999999999996</v>
      </c>
      <c r="U10" s="41">
        <f t="shared" si="4"/>
        <v>2926.8460657604269</v>
      </c>
      <c r="V10" s="41">
        <f t="shared" si="4"/>
        <v>723.33147272727149</v>
      </c>
      <c r="W10" s="41">
        <f>IF(O10&gt;0,IF(BAU!V10/BAU!O10&gt;C10,BAU!O10*C10,BAU!V10),0)</f>
        <v>723.33147272727149</v>
      </c>
      <c r="X10" s="41">
        <f t="shared" si="11"/>
        <v>0</v>
      </c>
      <c r="Y10" s="41">
        <f t="shared" si="5"/>
        <v>-20569.479452191397</v>
      </c>
      <c r="Z10" s="41">
        <f t="shared" si="15"/>
        <v>-57040.705516292917</v>
      </c>
      <c r="AA10" s="9">
        <f>(Constants!Q10*I10*Constants!F10*K10*0.000001)</f>
        <v>1130.9333198098288</v>
      </c>
      <c r="AB10" s="9">
        <f>(Constants!Q10*(1-I10)*Constants!G10*K10*0.000001)</f>
        <v>408.95356653837553</v>
      </c>
      <c r="AC10" s="9">
        <f>(Constants!Q10*Constants!R10*J10*Constants!F10*L10*0.000001)</f>
        <v>878.91597818181674</v>
      </c>
      <c r="AD10" s="9">
        <f>(Constants!Q10*Constants!R10*(1-J10)*Constants!G10*L10*0.000001)</f>
        <v>317.82229568181759</v>
      </c>
      <c r="AE10" s="28">
        <f t="shared" si="12"/>
        <v>2736.6251602118386</v>
      </c>
      <c r="AF10" s="33">
        <f>Constants!Q10*Constants!H10*(K10+L10)/1000000</f>
        <v>0.85670434922578786</v>
      </c>
      <c r="AG10" s="43">
        <f t="shared" si="16"/>
        <v>3.8990590834554655</v>
      </c>
      <c r="AH10" s="9">
        <f>Constants!Q10/Constants!L10*(BAU!K10*I10)</f>
        <v>2281947.7800844009</v>
      </c>
      <c r="AI10" s="9">
        <f>(Constants!Q10*Constants!R10)/Constants!L10*(BAU!L10*J10)</f>
        <v>1773438.2126348198</v>
      </c>
      <c r="AJ10" s="9">
        <f>Constants!Q10/Constants!M10*BAU!K10*(1-I10)</f>
        <v>601048.74564723053</v>
      </c>
      <c r="AK10" s="9">
        <f>(Constants!Q10*Constants!R10)/Constants!M10*BAU!L10*(1-J10)</f>
        <v>467110.95779220696</v>
      </c>
      <c r="AL10" s="9">
        <f t="shared" si="13"/>
        <v>5123.5456961586578</v>
      </c>
      <c r="AM10" s="28">
        <f>(AL10*Constants!I10*Constants!K10+BAU!AL10*(1-Constants!I10)*Constants!J10)*0.000453592</f>
        <v>1511.6566711619946</v>
      </c>
      <c r="AN10" s="33">
        <f t="shared" si="6"/>
        <v>1224.968489049844</v>
      </c>
      <c r="AO10" s="48">
        <f t="shared" si="17"/>
        <v>4650.7839709838408</v>
      </c>
      <c r="AQ10" s="7">
        <v>2027</v>
      </c>
      <c r="AR10" s="58">
        <f>(K10+L10+K28+L28+K46+L46)/(Constants!N10+Constants!O10+Constants!P10)</f>
        <v>4.0032921864938231E-2</v>
      </c>
      <c r="AS10" s="53">
        <f t="shared" si="7"/>
        <v>9397.7699344450193</v>
      </c>
      <c r="AT10" s="53">
        <f t="shared" si="8"/>
        <v>5477.1765025744753</v>
      </c>
      <c r="AU10" s="53">
        <f t="shared" si="8"/>
        <v>3920.5934318705431</v>
      </c>
      <c r="AV10" s="53">
        <f t="shared" si="8"/>
        <v>17354.594066155907</v>
      </c>
      <c r="AW10" s="53">
        <f t="shared" si="9"/>
        <v>2.8512981970765718</v>
      </c>
      <c r="AX10" s="54">
        <f t="shared" si="14"/>
        <v>15.574804417077564</v>
      </c>
    </row>
    <row r="11" spans="1:50" x14ac:dyDescent="0.25">
      <c r="A11" s="26">
        <v>2028</v>
      </c>
      <c r="B11" s="88">
        <v>0</v>
      </c>
      <c r="C11" s="82">
        <v>0.27272727272727271</v>
      </c>
      <c r="D11" s="82">
        <v>350</v>
      </c>
      <c r="E11" s="82">
        <v>71</v>
      </c>
      <c r="F11" s="82">
        <v>350</v>
      </c>
      <c r="G11" s="82">
        <v>55</v>
      </c>
      <c r="H11" s="90">
        <v>0.03</v>
      </c>
      <c r="I11" s="90">
        <v>0.8</v>
      </c>
      <c r="J11" s="90">
        <v>0.7</v>
      </c>
      <c r="K11" s="92">
        <v>784.17640335185126</v>
      </c>
      <c r="L11" s="96">
        <v>802.09090909091469</v>
      </c>
      <c r="M11" s="18"/>
      <c r="N11" s="61">
        <v>2028</v>
      </c>
      <c r="O11" s="34">
        <f>Constants!N11*Constants!B11-B11</f>
        <v>23990.977896138484</v>
      </c>
      <c r="P11" s="9">
        <f t="shared" si="0"/>
        <v>4</v>
      </c>
      <c r="Q11" s="9">
        <f t="shared" si="1"/>
        <v>0.96199999999999997</v>
      </c>
      <c r="R11" s="9">
        <f t="shared" si="2"/>
        <v>0.96799999999999997</v>
      </c>
      <c r="S11" s="9">
        <f t="shared" si="10"/>
        <v>4</v>
      </c>
      <c r="T11" s="9">
        <f t="shared" si="3"/>
        <v>0.96799999999999997</v>
      </c>
      <c r="U11" s="41">
        <f t="shared" si="4"/>
        <v>3136.7056134074051</v>
      </c>
      <c r="V11" s="41">
        <f t="shared" si="4"/>
        <v>776.42400000000544</v>
      </c>
      <c r="W11" s="41">
        <f>IF(O11&gt;0,IF(BAU!V11/BAU!O11&gt;C11,BAU!O11*C11,BAU!V11),0)</f>
        <v>776.42400000000544</v>
      </c>
      <c r="X11" s="41">
        <f t="shared" si="11"/>
        <v>0</v>
      </c>
      <c r="Y11" s="41">
        <f t="shared" si="5"/>
        <v>-20077.848282731073</v>
      </c>
      <c r="Z11" s="41">
        <f t="shared" si="15"/>
        <v>-77118.553799023997</v>
      </c>
      <c r="AA11" s="9">
        <f>(Constants!Q11*I11*Constants!F11*K11*0.000001)</f>
        <v>1212.0230490206213</v>
      </c>
      <c r="AB11" s="9">
        <f>(Constants!Q11*(1-I11)*Constants!G11*K11*0.000001)</f>
        <v>438.27619183334957</v>
      </c>
      <c r="AC11" s="9">
        <f>(Constants!Q11*Constants!R11*J11*Constants!F11*L11*0.000001)</f>
        <v>813.56080909091474</v>
      </c>
      <c r="AD11" s="9">
        <f>(Constants!Q11*Constants!R11*(1-J11)*Constants!G11*L11*0.000001)</f>
        <v>504.32468522727629</v>
      </c>
      <c r="AE11" s="28">
        <f t="shared" si="12"/>
        <v>2968.1847351721622</v>
      </c>
      <c r="AF11" s="33">
        <f>Constants!Q11*Constants!H11*(K11+L11)/1000000</f>
        <v>0.91210370465459045</v>
      </c>
      <c r="AG11" s="43">
        <f t="shared" si="16"/>
        <v>4.8111627881100558</v>
      </c>
      <c r="AH11" s="9">
        <f>Constants!Q11/Constants!L11*(BAU!K11*I11)</f>
        <v>2445567.0884193326</v>
      </c>
      <c r="AI11" s="9">
        <f>(Constants!Q11*Constants!R11)/Constants!L11*(BAU!L11*J11)</f>
        <v>1641567.4114021685</v>
      </c>
      <c r="AJ11" s="9">
        <f>Constants!Q11/Constants!M11*BAU!K11*(1-I11)</f>
        <v>644144.90275330632</v>
      </c>
      <c r="AK11" s="9">
        <f>(Constants!Q11*Constants!R11)/Constants!M11*BAU!L11*(1-J11)</f>
        <v>741217.93831169361</v>
      </c>
      <c r="AL11" s="9">
        <f t="shared" si="13"/>
        <v>5472.4973408865008</v>
      </c>
      <c r="AM11" s="28">
        <f>(AL11*Constants!I11*Constants!K11+BAU!AL11*(1-Constants!I11)*Constants!J11)*0.000453592</f>
        <v>1564.6059607321083</v>
      </c>
      <c r="AN11" s="33">
        <f t="shared" si="6"/>
        <v>1403.5787744400538</v>
      </c>
      <c r="AO11" s="48">
        <f t="shared" si="17"/>
        <v>6054.3627454238949</v>
      </c>
      <c r="AQ11" s="7">
        <v>2028</v>
      </c>
      <c r="AR11" s="58">
        <f>(K11+L11+K29+L29+K47+L47)/(Constants!N11+Constants!O11+Constants!P11)</f>
        <v>4.0978035951773795E-2</v>
      </c>
      <c r="AS11" s="53">
        <f t="shared" si="7"/>
        <v>9574.4177397381573</v>
      </c>
      <c r="AT11" s="53">
        <f t="shared" si="8"/>
        <v>5375.632831573309</v>
      </c>
      <c r="AU11" s="53">
        <f t="shared" si="8"/>
        <v>4198.7849081648492</v>
      </c>
      <c r="AV11" s="53">
        <f t="shared" si="8"/>
        <v>21553.378974320756</v>
      </c>
      <c r="AW11" s="53">
        <f t="shared" si="9"/>
        <v>2.8910556540654664</v>
      </c>
      <c r="AX11" s="54">
        <f t="shared" si="14"/>
        <v>18.76164397511047</v>
      </c>
    </row>
    <row r="12" spans="1:50" x14ac:dyDescent="0.25">
      <c r="A12" s="26">
        <v>2029</v>
      </c>
      <c r="B12" s="88">
        <v>0</v>
      </c>
      <c r="C12" s="82">
        <v>0.27272727272727271</v>
      </c>
      <c r="D12" s="82">
        <v>350</v>
      </c>
      <c r="E12" s="82">
        <v>75</v>
      </c>
      <c r="F12" s="82">
        <v>350</v>
      </c>
      <c r="G12" s="82">
        <v>58</v>
      </c>
      <c r="H12" s="90">
        <v>0.03</v>
      </c>
      <c r="I12" s="90">
        <v>0.8</v>
      </c>
      <c r="J12" s="90">
        <v>0.6</v>
      </c>
      <c r="K12" s="92">
        <v>850.27802571347377</v>
      </c>
      <c r="L12" s="96">
        <v>845.9727272727265</v>
      </c>
      <c r="M12" s="18"/>
      <c r="N12" s="61">
        <v>2029</v>
      </c>
      <c r="O12" s="34">
        <f>Constants!N12*Constants!B12-B12</f>
        <v>24182.325617125884</v>
      </c>
      <c r="P12" s="9">
        <f t="shared" si="0"/>
        <v>4</v>
      </c>
      <c r="Q12" s="9">
        <f t="shared" si="1"/>
        <v>0.98199999999999998</v>
      </c>
      <c r="R12" s="9">
        <f t="shared" si="2"/>
        <v>0.98799999999999999</v>
      </c>
      <c r="S12" s="9">
        <f t="shared" si="10"/>
        <v>4</v>
      </c>
      <c r="T12" s="9">
        <f t="shared" si="3"/>
        <v>0.98799999999999999</v>
      </c>
      <c r="U12" s="41">
        <f t="shared" si="4"/>
        <v>3401.1121028538951</v>
      </c>
      <c r="V12" s="41">
        <f t="shared" si="4"/>
        <v>835.82105454545376</v>
      </c>
      <c r="W12" s="41">
        <f>IF(O12&gt;0,IF(BAU!V12/BAU!O12&gt;C12,BAU!O12*C12,BAU!V12),0)</f>
        <v>835.82105454545376</v>
      </c>
      <c r="X12" s="41">
        <f t="shared" si="11"/>
        <v>0</v>
      </c>
      <c r="Y12" s="41">
        <f t="shared" si="5"/>
        <v>-19945.392459726536</v>
      </c>
      <c r="Z12" s="41">
        <f t="shared" si="15"/>
        <v>-97063.94625875054</v>
      </c>
      <c r="AA12" s="9">
        <f>(Constants!Q12*I12*Constants!F12*K12*0.000001)</f>
        <v>1314.1897165427451</v>
      </c>
      <c r="AB12" s="9">
        <f>(Constants!Q12*(1-I12)*Constants!G12*K12*0.000001)</f>
        <v>475.22038857126034</v>
      </c>
      <c r="AC12" s="9">
        <f>(Constants!Q12*Constants!R12*J12*Constants!F12*L12*0.000001)</f>
        <v>735.48868909090834</v>
      </c>
      <c r="AD12" s="9">
        <f>(Constants!Q12*Constants!R12*(1-J12)*Constants!G12*L12*0.000001)</f>
        <v>709.2212359090903</v>
      </c>
      <c r="AE12" s="28">
        <f t="shared" si="12"/>
        <v>3234.1200301140043</v>
      </c>
      <c r="AF12" s="33">
        <f>Constants!Q12*Constants!H12*(K12+L12)/1000000</f>
        <v>0.97534418296706515</v>
      </c>
      <c r="AG12" s="43">
        <f t="shared" si="16"/>
        <v>5.7865069710771211</v>
      </c>
      <c r="AH12" s="9">
        <f>Constants!Q12/Constants!L12*(BAU!K12*I12)</f>
        <v>2651714.5208691387</v>
      </c>
      <c r="AI12" s="9">
        <f>(Constants!Q12*Constants!R12)/Constants!L12*(BAU!L12*J12)</f>
        <v>1484036.9029275794</v>
      </c>
      <c r="AJ12" s="9">
        <f>Constants!Q12/Constants!M12*BAU!K12*(1-I12)</f>
        <v>698442.66397892486</v>
      </c>
      <c r="AK12" s="9">
        <f>(Constants!Q12*Constants!R12)/Constants!M12*BAU!L12*(1-J12)</f>
        <v>1042359.2532467524</v>
      </c>
      <c r="AL12" s="9">
        <f t="shared" si="13"/>
        <v>5876.5533410223952</v>
      </c>
      <c r="AM12" s="28">
        <f>(AL12*Constants!I12*Constants!K12+BAU!AL12*(1-Constants!I12)*Constants!J12)*0.000453592</f>
        <v>1670.5182484506247</v>
      </c>
      <c r="AN12" s="33">
        <f t="shared" si="6"/>
        <v>1563.6017816633796</v>
      </c>
      <c r="AO12" s="48">
        <f t="shared" si="17"/>
        <v>7617.9645270872743</v>
      </c>
      <c r="AQ12" s="7">
        <v>2029</v>
      </c>
      <c r="AR12" s="58">
        <f>(K12+L12+K30+L30+K48+L48)/(Constants!N12+Constants!O12+Constants!P12)</f>
        <v>4.1798919798883859E-2</v>
      </c>
      <c r="AS12" s="53">
        <f t="shared" si="7"/>
        <v>9899.1313555302349</v>
      </c>
      <c r="AT12" s="53">
        <f t="shared" si="8"/>
        <v>5493.4640024712289</v>
      </c>
      <c r="AU12" s="53">
        <f t="shared" si="8"/>
        <v>4405.6673530590051</v>
      </c>
      <c r="AV12" s="53">
        <f t="shared" si="8"/>
        <v>25959.046327379765</v>
      </c>
      <c r="AW12" s="53">
        <f t="shared" si="9"/>
        <v>2.9724905704015496</v>
      </c>
      <c r="AX12" s="54">
        <f t="shared" si="14"/>
        <v>22.038250055769797</v>
      </c>
    </row>
    <row r="13" spans="1:50" x14ac:dyDescent="0.25">
      <c r="A13" s="26">
        <v>2030</v>
      </c>
      <c r="B13" s="88">
        <v>0</v>
      </c>
      <c r="C13" s="82">
        <v>0.27272727272727271</v>
      </c>
      <c r="D13" s="82">
        <v>350</v>
      </c>
      <c r="E13" s="82">
        <v>78</v>
      </c>
      <c r="F13" s="82">
        <v>350</v>
      </c>
      <c r="G13" s="82">
        <v>60</v>
      </c>
      <c r="H13" s="90">
        <v>0.03</v>
      </c>
      <c r="I13" s="90">
        <v>0.8</v>
      </c>
      <c r="J13" s="90">
        <v>0.5</v>
      </c>
      <c r="K13" s="92">
        <v>915.2744214313667</v>
      </c>
      <c r="L13" s="96">
        <v>889.85454545455138</v>
      </c>
      <c r="M13" s="18"/>
      <c r="N13" s="61">
        <v>2030</v>
      </c>
      <c r="O13" s="34">
        <f>Constants!N13*Constants!B13-B13</f>
        <v>24319.142169415136</v>
      </c>
      <c r="P13" s="9">
        <f t="shared" si="0"/>
        <v>4</v>
      </c>
      <c r="Q13" s="9">
        <f t="shared" si="1"/>
        <v>0.99</v>
      </c>
      <c r="R13" s="9">
        <f t="shared" si="2"/>
        <v>0.996</v>
      </c>
      <c r="S13" s="9">
        <f t="shared" si="10"/>
        <v>4</v>
      </c>
      <c r="T13" s="9">
        <f t="shared" si="3"/>
        <v>0.996</v>
      </c>
      <c r="U13" s="41">
        <f t="shared" si="4"/>
        <v>3661.0976857254668</v>
      </c>
      <c r="V13" s="41">
        <f t="shared" si="4"/>
        <v>886.29512727273323</v>
      </c>
      <c r="W13" s="41">
        <f>IF(O13&gt;0,IF(BAU!V13/BAU!O13&gt;C13,BAU!O13*C13,BAU!V13),0)</f>
        <v>886.29512727273323</v>
      </c>
      <c r="X13" s="41">
        <f t="shared" si="11"/>
        <v>0</v>
      </c>
      <c r="Y13" s="41">
        <f t="shared" si="5"/>
        <v>-19771.749356416934</v>
      </c>
      <c r="Z13" s="41">
        <f t="shared" si="15"/>
        <v>-116835.69561516747</v>
      </c>
      <c r="AA13" s="9">
        <f>(Constants!Q13*I13*Constants!F13*K13*0.000001)</f>
        <v>1414.6481457643204</v>
      </c>
      <c r="AB13" s="9">
        <f>(Constants!Q13*(1-I13)*Constants!G13*K13*0.000001)</f>
        <v>511.54687413799076</v>
      </c>
      <c r="AC13" s="9">
        <f>(Constants!Q13*Constants!R13*J13*Constants!F13*L13*0.000001)</f>
        <v>644.69961818182242</v>
      </c>
      <c r="AD13" s="9">
        <f>(Constants!Q13*Constants!R13*(1-J13)*Constants!G13*L13*0.000001)</f>
        <v>932.51194772727888</v>
      </c>
      <c r="AE13" s="28">
        <f t="shared" si="12"/>
        <v>3503.4065858114122</v>
      </c>
      <c r="AF13" s="33">
        <f>Constants!Q13*Constants!H13*(K13+L13)/1000000</f>
        <v>1.037949155959403</v>
      </c>
      <c r="AG13" s="43">
        <f t="shared" si="16"/>
        <v>6.824456127036524</v>
      </c>
      <c r="AH13" s="9">
        <f>Constants!Q13/Constants!L13*(BAU!K13*I13)</f>
        <v>2854415.1448029066</v>
      </c>
      <c r="AI13" s="9">
        <f>(Constants!Q13*Constants!R13)/Constants!L13*(BAU!L13*J13)</f>
        <v>1300846.6872111026</v>
      </c>
      <c r="AJ13" s="9">
        <f>Constants!Q13/Constants!M13*BAU!K13*(1-I13)</f>
        <v>751832.5604614797</v>
      </c>
      <c r="AK13" s="9">
        <f>(Constants!Q13*Constants!R13)/Constants!M13*BAU!L13*(1-J13)</f>
        <v>1370534.9025974118</v>
      </c>
      <c r="AL13" s="9">
        <f t="shared" si="13"/>
        <v>6277.6292950729012</v>
      </c>
      <c r="AM13" s="28">
        <f>(AL13*Constants!I13*Constants!K13+BAU!AL13*(1-Constants!I13)*Constants!J13)*0.000453592</f>
        <v>1739.0669798045153</v>
      </c>
      <c r="AN13" s="33">
        <f t="shared" si="6"/>
        <v>1764.3396060068969</v>
      </c>
      <c r="AO13" s="48">
        <f t="shared" si="17"/>
        <v>9382.3041330941705</v>
      </c>
      <c r="AQ13" s="7">
        <v>2030</v>
      </c>
      <c r="AR13" s="58">
        <f>(K13+L13+K31+L31+K49+L49)/(Constants!N13+Constants!O13+Constants!P13)</f>
        <v>4.2633200692227695E-2</v>
      </c>
      <c r="AS13" s="53">
        <f t="shared" si="7"/>
        <v>10212.690562318347</v>
      </c>
      <c r="AT13" s="53">
        <f t="shared" si="8"/>
        <v>5489.3627431205477</v>
      </c>
      <c r="AU13" s="53">
        <f t="shared" si="8"/>
        <v>4723.3278191977988</v>
      </c>
      <c r="AV13" s="53">
        <f t="shared" si="8"/>
        <v>30682.37414657756</v>
      </c>
      <c r="AW13" s="53">
        <f t="shared" si="9"/>
        <v>3.048972817798588</v>
      </c>
      <c r="AX13" s="54">
        <f t="shared" si="14"/>
        <v>25.39916328255736</v>
      </c>
    </row>
    <row r="14" spans="1:50" x14ac:dyDescent="0.25">
      <c r="A14" s="26">
        <v>2031</v>
      </c>
      <c r="B14" s="88">
        <v>0</v>
      </c>
      <c r="C14" s="82">
        <v>0.27272727272727271</v>
      </c>
      <c r="D14" s="82">
        <v>350</v>
      </c>
      <c r="E14" s="82">
        <v>80</v>
      </c>
      <c r="F14" s="82">
        <v>350</v>
      </c>
      <c r="G14" s="82">
        <v>63</v>
      </c>
      <c r="H14" s="90">
        <v>0.03</v>
      </c>
      <c r="I14" s="90">
        <v>0.8</v>
      </c>
      <c r="J14" s="90">
        <v>0.4</v>
      </c>
      <c r="K14" s="92">
        <v>978.88616011172462</v>
      </c>
      <c r="L14" s="96">
        <v>933.73636363636331</v>
      </c>
      <c r="M14" s="18"/>
      <c r="N14" s="61">
        <v>2031</v>
      </c>
      <c r="O14" s="34">
        <f>Constants!N14*Constants!B14-B14</f>
        <v>24404.554788487145</v>
      </c>
      <c r="P14" s="9">
        <f t="shared" si="0"/>
        <v>4</v>
      </c>
      <c r="Q14" s="9">
        <f t="shared" si="1"/>
        <v>0.998</v>
      </c>
      <c r="R14" s="9">
        <f t="shared" si="2"/>
        <v>1.004</v>
      </c>
      <c r="S14" s="9">
        <f t="shared" si="10"/>
        <v>4</v>
      </c>
      <c r="T14" s="9">
        <f t="shared" si="3"/>
        <v>1.004</v>
      </c>
      <c r="U14" s="41">
        <f t="shared" si="4"/>
        <v>3915.5446404468985</v>
      </c>
      <c r="V14" s="41">
        <f t="shared" si="4"/>
        <v>937.47130909090879</v>
      </c>
      <c r="W14" s="41">
        <f>IF(O14&gt;0,IF(BAU!V14/BAU!O14&gt;C14,BAU!O14*C14,BAU!V14),0)</f>
        <v>937.47130909090879</v>
      </c>
      <c r="X14" s="41">
        <f t="shared" si="11"/>
        <v>0</v>
      </c>
      <c r="Y14" s="41">
        <f t="shared" si="5"/>
        <v>-19551.538838949338</v>
      </c>
      <c r="Z14" s="41">
        <f t="shared" si="15"/>
        <v>-136387.23445411681</v>
      </c>
      <c r="AA14" s="9">
        <f>(Constants!Q14*I14*Constants!F14*K14*0.000001)</f>
        <v>1512.9664490686814</v>
      </c>
      <c r="AB14" s="9">
        <f>(Constants!Q14*(1-I14)*Constants!G14*K14*0.000001)</f>
        <v>547.09947488644275</v>
      </c>
      <c r="AC14" s="9">
        <f>(Constants!Q14*Constants!R14*J14*Constants!F14*L14*0.000001)</f>
        <v>541.19359636363606</v>
      </c>
      <c r="AD14" s="9">
        <f>(Constants!Q14*Constants!R14*(1-J14)*Constants!G14*L14*0.000001)</f>
        <v>1174.1968206818178</v>
      </c>
      <c r="AE14" s="28">
        <f t="shared" si="12"/>
        <v>3775.456341000578</v>
      </c>
      <c r="AF14" s="33">
        <f>Constants!Q14*Constants!H14*(K14+L14)/1000000</f>
        <v>1.0997579511551505</v>
      </c>
      <c r="AG14" s="43">
        <f t="shared" si="16"/>
        <v>7.9242140781916746</v>
      </c>
      <c r="AH14" s="9">
        <f>Constants!Q14/Constants!L14*(BAU!K14*I14)</f>
        <v>3052797.5162806329</v>
      </c>
      <c r="AI14" s="9">
        <f>(Constants!Q14*Constants!R14)/Constants!L14*(BAU!L14*J14)</f>
        <v>1091996.764252696</v>
      </c>
      <c r="AJ14" s="9">
        <f>Constants!Q14/Constants!M14*BAU!K14*(1-I14)</f>
        <v>804085.06009177375</v>
      </c>
      <c r="AK14" s="9">
        <f>(Constants!Q14*Constants!R14)/Constants!M14*BAU!L14*(1-J14)</f>
        <v>1725744.886363636</v>
      </c>
      <c r="AL14" s="9">
        <f t="shared" si="13"/>
        <v>6674.6242269887389</v>
      </c>
      <c r="AM14" s="28">
        <f>(AL14*Constants!I14*Constants!K14+BAU!AL14*(1-Constants!I14)*Constants!J14)*0.000453592</f>
        <v>1826.3322619826506</v>
      </c>
      <c r="AN14" s="33">
        <f t="shared" si="6"/>
        <v>1949.1240790179274</v>
      </c>
      <c r="AO14" s="48">
        <f t="shared" si="17"/>
        <v>11331.428212112098</v>
      </c>
      <c r="AQ14" s="7">
        <v>2031</v>
      </c>
      <c r="AR14" s="58">
        <f>(K14+L14+K32+L32+K50+L50)/(Constants!N14+Constants!O14+Constants!P14)</f>
        <v>4.7712703093561015E-2</v>
      </c>
      <c r="AS14" s="53">
        <f t="shared" si="7"/>
        <v>11535.554563627567</v>
      </c>
      <c r="AT14" s="53">
        <f t="shared" si="8"/>
        <v>6110.7212174328433</v>
      </c>
      <c r="AU14" s="53">
        <f t="shared" si="8"/>
        <v>5424.8333461947241</v>
      </c>
      <c r="AV14" s="53">
        <f t="shared" si="8"/>
        <v>36107.207492772286</v>
      </c>
      <c r="AW14" s="53">
        <f t="shared" si="9"/>
        <v>3.4242248383006291</v>
      </c>
      <c r="AX14" s="54">
        <f t="shared" si="14"/>
        <v>29.173720564064528</v>
      </c>
    </row>
    <row r="15" spans="1:50" x14ac:dyDescent="0.25">
      <c r="A15" s="26">
        <v>2032</v>
      </c>
      <c r="B15" s="88">
        <v>0</v>
      </c>
      <c r="C15" s="82">
        <v>0.27272727272727271</v>
      </c>
      <c r="D15" s="82">
        <v>350</v>
      </c>
      <c r="E15" s="82">
        <v>80</v>
      </c>
      <c r="F15" s="82">
        <v>350</v>
      </c>
      <c r="G15" s="82">
        <v>66</v>
      </c>
      <c r="H15" s="90">
        <v>0.03</v>
      </c>
      <c r="I15" s="90">
        <v>0.8</v>
      </c>
      <c r="J15" s="90">
        <v>0.3</v>
      </c>
      <c r="K15" s="92">
        <v>1047.9813234121837</v>
      </c>
      <c r="L15" s="96">
        <v>977.61818181818819</v>
      </c>
      <c r="M15" s="18"/>
      <c r="N15" s="61">
        <v>2032</v>
      </c>
      <c r="O15" s="34">
        <f>Constants!N15*Constants!B15-B15</f>
        <v>24608.802355833246</v>
      </c>
      <c r="P15" s="9">
        <f t="shared" si="0"/>
        <v>4</v>
      </c>
      <c r="Q15" s="9">
        <f t="shared" si="1"/>
        <v>1.002</v>
      </c>
      <c r="R15" s="9">
        <f t="shared" si="2"/>
        <v>1.008</v>
      </c>
      <c r="S15" s="9">
        <f t="shared" si="10"/>
        <v>4</v>
      </c>
      <c r="T15" s="9">
        <f t="shared" si="3"/>
        <v>1.008</v>
      </c>
      <c r="U15" s="41">
        <f t="shared" si="4"/>
        <v>4191.9252936487346</v>
      </c>
      <c r="V15" s="41">
        <f t="shared" si="4"/>
        <v>985.43912727273369</v>
      </c>
      <c r="W15" s="41">
        <f>IF(O15&gt;0,IF(BAU!V15/BAU!O15&gt;C15,BAU!O15*C15,BAU!V15),0)</f>
        <v>985.43912727273369</v>
      </c>
      <c r="X15" s="41">
        <f t="shared" si="11"/>
        <v>0</v>
      </c>
      <c r="Y15" s="41">
        <f t="shared" si="5"/>
        <v>-19431.437934911777</v>
      </c>
      <c r="Z15" s="41">
        <f t="shared" si="15"/>
        <v>-155818.67238902859</v>
      </c>
      <c r="AA15" s="9">
        <f>(Constants!Q15*I15*Constants!F15*K15*0.000001)</f>
        <v>1619.759933465871</v>
      </c>
      <c r="AB15" s="9">
        <f>(Constants!Q15*(1-I15)*Constants!G15*K15*0.000001)</f>
        <v>585.71676165506938</v>
      </c>
      <c r="AC15" s="9">
        <f>(Constants!Q15*Constants!R15*J15*Constants!F15*L15*0.000001)</f>
        <v>424.97062363636638</v>
      </c>
      <c r="AD15" s="9">
        <f>(Constants!Q15*Constants!R15*(1-J15)*Constants!G15*L15*0.000001)</f>
        <v>1434.2758547727365</v>
      </c>
      <c r="AE15" s="28">
        <f t="shared" si="12"/>
        <v>4064.7231735300429</v>
      </c>
      <c r="AF15" s="33">
        <f>Constants!Q15*Constants!H15*(K15+L15)/1000000</f>
        <v>1.1647197155074638</v>
      </c>
      <c r="AG15" s="43">
        <f t="shared" si="16"/>
        <v>9.0889337936991375</v>
      </c>
      <c r="AH15" s="9">
        <f>Constants!Q15/Constants!L15*(BAU!K15*I15)</f>
        <v>3268280.7374210474</v>
      </c>
      <c r="AI15" s="9">
        <f>(Constants!Q15*Constants!R15)/Constants!L15*(BAU!L15*J15)</f>
        <v>857487.13405239373</v>
      </c>
      <c r="AJ15" s="9">
        <f>Constants!Q15/Constants!M15*BAU!K15*(1-I15)</f>
        <v>860841.80137429363</v>
      </c>
      <c r="AK15" s="9">
        <f>(Constants!Q15*Constants!R15)/Constants!M15*BAU!L15*(1-J15)</f>
        <v>2107989.2045454686</v>
      </c>
      <c r="AL15" s="9">
        <f t="shared" si="13"/>
        <v>7094.5988773932031</v>
      </c>
      <c r="AM15" s="28">
        <f>(AL15*Constants!I15*Constants!K15+BAU!AL15*(1-Constants!I15)*Constants!J15)*0.000453592</f>
        <v>1743.7443199419365</v>
      </c>
      <c r="AN15" s="33">
        <f t="shared" si="6"/>
        <v>2320.9788535881062</v>
      </c>
      <c r="AO15" s="48">
        <f t="shared" si="17"/>
        <v>13652.407065700205</v>
      </c>
      <c r="AQ15" s="7">
        <v>2032</v>
      </c>
      <c r="AR15" s="58">
        <f>(K15+L15+K33+L33+K51+L51)/(Constants!N15+Constants!O15+Constants!P15)</f>
        <v>4.8514921471622667E-2</v>
      </c>
      <c r="AS15" s="53">
        <f t="shared" si="7"/>
        <v>11895.55145629304</v>
      </c>
      <c r="AT15" s="53">
        <f t="shared" si="8"/>
        <v>5627.3163367780844</v>
      </c>
      <c r="AU15" s="53">
        <f t="shared" si="8"/>
        <v>6268.2351195149549</v>
      </c>
      <c r="AV15" s="53">
        <f t="shared" si="8"/>
        <v>42375.442612287239</v>
      </c>
      <c r="AW15" s="53">
        <f t="shared" si="9"/>
        <v>3.5109381059401743</v>
      </c>
      <c r="AX15" s="54">
        <f t="shared" si="14"/>
        <v>33.043862747623443</v>
      </c>
    </row>
    <row r="16" spans="1:50" x14ac:dyDescent="0.25">
      <c r="A16" s="26">
        <v>2033</v>
      </c>
      <c r="B16" s="88">
        <v>0</v>
      </c>
      <c r="C16" s="82">
        <v>0.27272727272727271</v>
      </c>
      <c r="D16" s="82">
        <v>350</v>
      </c>
      <c r="E16" s="82">
        <v>80</v>
      </c>
      <c r="F16" s="82">
        <v>350</v>
      </c>
      <c r="G16" s="82">
        <v>69</v>
      </c>
      <c r="H16" s="90">
        <v>0.03</v>
      </c>
      <c r="I16" s="90">
        <v>0.7</v>
      </c>
      <c r="J16" s="90">
        <v>0.2</v>
      </c>
      <c r="K16" s="92">
        <v>1112.5125065911282</v>
      </c>
      <c r="L16" s="96">
        <v>1021.5</v>
      </c>
      <c r="M16" s="18"/>
      <c r="N16" s="61">
        <v>2033</v>
      </c>
      <c r="O16" s="34">
        <f>Constants!N16*Constants!B16-B16</f>
        <v>24689.328669466355</v>
      </c>
      <c r="P16" s="9">
        <f t="shared" si="0"/>
        <v>4</v>
      </c>
      <c r="Q16" s="9">
        <f t="shared" si="1"/>
        <v>1.012</v>
      </c>
      <c r="R16" s="9">
        <f t="shared" si="2"/>
        <v>1.018</v>
      </c>
      <c r="S16" s="9">
        <f t="shared" si="10"/>
        <v>4</v>
      </c>
      <c r="T16" s="9">
        <f t="shared" si="3"/>
        <v>1.018</v>
      </c>
      <c r="U16" s="41">
        <f t="shared" si="4"/>
        <v>4450.0500263645126</v>
      </c>
      <c r="V16" s="41">
        <f t="shared" si="4"/>
        <v>1039.8869999999999</v>
      </c>
      <c r="W16" s="41">
        <f>IF(O16&gt;0,IF(BAU!V16/BAU!O16&gt;C16,BAU!O16*C16,BAU!V16),0)</f>
        <v>1039.8869999999999</v>
      </c>
      <c r="X16" s="41">
        <f t="shared" si="11"/>
        <v>0</v>
      </c>
      <c r="Y16" s="41">
        <f t="shared" si="5"/>
        <v>-19199.391643101844</v>
      </c>
      <c r="Z16" s="41">
        <f t="shared" si="15"/>
        <v>-175018.06403213044</v>
      </c>
      <c r="AA16" s="9">
        <f>(Constants!Q16*I16*Constants!F16*K16*0.000001)</f>
        <v>1504.5619139138414</v>
      </c>
      <c r="AB16" s="9">
        <f>(Constants!Q16*(1-I16)*Constants!G16*K16*0.000001)</f>
        <v>932.67485990067235</v>
      </c>
      <c r="AC16" s="9">
        <f>(Constants!Q16*Constants!R16*J16*Constants!F16*L16*0.000001)</f>
        <v>296.03069999999997</v>
      </c>
      <c r="AD16" s="9">
        <f>(Constants!Q16*Constants!R16*(1-J16)*Constants!G16*L16*0.000001)</f>
        <v>1712.7490499999999</v>
      </c>
      <c r="AE16" s="28">
        <f t="shared" si="12"/>
        <v>4446.0165238145137</v>
      </c>
      <c r="AF16" s="33">
        <f>Constants!Q16*Constants!H16*(K16+L16)/1000000</f>
        <v>1.2270571912898984</v>
      </c>
      <c r="AG16" s="43">
        <f t="shared" si="16"/>
        <v>10.315990984989035</v>
      </c>
      <c r="AH16" s="9">
        <f>Constants!Q16/Constants!L16*(BAU!K16*I16)</f>
        <v>3035839.2129012137</v>
      </c>
      <c r="AI16" s="9">
        <f>(Constants!Q16*Constants!R16)/Constants!L16*(BAU!L16*J16)</f>
        <v>597317.79661016946</v>
      </c>
      <c r="AJ16" s="9">
        <f>Constants!Q16/Constants!M16*BAU!K16*(1-I16)</f>
        <v>1370774.3384783547</v>
      </c>
      <c r="AK16" s="9">
        <f>(Constants!Q16*Constants!R16)/Constants!M16*BAU!L16*(1-J16)</f>
        <v>2517267.8571428577</v>
      </c>
      <c r="AL16" s="9">
        <f t="shared" si="13"/>
        <v>7521.199205132596</v>
      </c>
      <c r="AM16" s="28">
        <f>(AL16*Constants!I16*Constants!K16+BAU!AL16*(1-Constants!I16)*Constants!J16)*0.000453592</f>
        <v>1933.8364308136538</v>
      </c>
      <c r="AN16" s="33">
        <f t="shared" si="6"/>
        <v>2512.1800930008599</v>
      </c>
      <c r="AO16" s="48">
        <f t="shared" si="17"/>
        <v>16164.587158701064</v>
      </c>
      <c r="AQ16" s="7">
        <v>2033</v>
      </c>
      <c r="AR16" s="58">
        <f>(K16+L16+K34+L34+K52+L52)/(Constants!N16+Constants!O16+Constants!P16)</f>
        <v>4.9358631894333899E-2</v>
      </c>
      <c r="AS16" s="53">
        <f t="shared" si="7"/>
        <v>12309.463469565206</v>
      </c>
      <c r="AT16" s="53">
        <f t="shared" si="8"/>
        <v>6013.40567772125</v>
      </c>
      <c r="AU16" s="53">
        <f t="shared" si="8"/>
        <v>6296.0577918439558</v>
      </c>
      <c r="AV16" s="53">
        <f t="shared" si="8"/>
        <v>48671.500404131191</v>
      </c>
      <c r="AW16" s="53">
        <f t="shared" si="9"/>
        <v>3.5836844072871283</v>
      </c>
      <c r="AX16" s="54">
        <f t="shared" si="14"/>
        <v>36.994193906620119</v>
      </c>
    </row>
    <row r="17" spans="1:50" x14ac:dyDescent="0.25">
      <c r="A17" s="26">
        <v>2034</v>
      </c>
      <c r="B17" s="88">
        <v>0</v>
      </c>
      <c r="C17" s="82">
        <v>0.27272727272727271</v>
      </c>
      <c r="D17" s="82">
        <v>350</v>
      </c>
      <c r="E17" s="82">
        <v>80</v>
      </c>
      <c r="F17" s="82">
        <v>350</v>
      </c>
      <c r="G17" s="82">
        <v>71</v>
      </c>
      <c r="H17" s="90">
        <v>0.03</v>
      </c>
      <c r="I17" s="90">
        <v>0.7</v>
      </c>
      <c r="J17" s="90">
        <v>0.1</v>
      </c>
      <c r="K17" s="92">
        <v>1181.864725785669</v>
      </c>
      <c r="L17" s="96">
        <v>1065.3818181818249</v>
      </c>
      <c r="M17" s="18"/>
      <c r="N17" s="61">
        <v>2034</v>
      </c>
      <c r="O17" s="34">
        <f>Constants!N17*Constants!B17-B17</f>
        <v>24862.890238656149</v>
      </c>
      <c r="P17" s="9">
        <f t="shared" si="0"/>
        <v>4</v>
      </c>
      <c r="Q17" s="9">
        <f t="shared" si="1"/>
        <v>1.0190000000000001</v>
      </c>
      <c r="R17" s="9">
        <f t="shared" si="2"/>
        <v>1.0250000000000001</v>
      </c>
      <c r="S17" s="9">
        <f t="shared" si="10"/>
        <v>4</v>
      </c>
      <c r="T17" s="9">
        <f t="shared" si="3"/>
        <v>1.0250000000000001</v>
      </c>
      <c r="U17" s="41">
        <f t="shared" si="4"/>
        <v>4727.4589031426758</v>
      </c>
      <c r="V17" s="41">
        <f t="shared" si="4"/>
        <v>1092.0163636363707</v>
      </c>
      <c r="W17" s="41">
        <f>IF(O17&gt;0,IF(BAU!V17/BAU!O17&gt;C17,BAU!O17*C17,BAU!V17),0)</f>
        <v>1092.0163636363707</v>
      </c>
      <c r="X17" s="41">
        <f t="shared" si="11"/>
        <v>0</v>
      </c>
      <c r="Y17" s="41">
        <f t="shared" si="5"/>
        <v>-19043.4149718771</v>
      </c>
      <c r="Z17" s="41">
        <f t="shared" si="15"/>
        <v>-194061.47900400753</v>
      </c>
      <c r="AA17" s="9">
        <f>(Constants!Q17*I17*Constants!F17*K17*0.000001)</f>
        <v>1598.3538551525382</v>
      </c>
      <c r="AB17" s="9">
        <f>(Constants!Q17*(1-I17)*Constants!G17*K17*0.000001)</f>
        <v>990.81629286241559</v>
      </c>
      <c r="AC17" s="9">
        <f>(Constants!Q17*Constants!R17*J17*Constants!F17*L17*0.000001)</f>
        <v>154.37382545454642</v>
      </c>
      <c r="AD17" s="9">
        <f>(Constants!Q17*Constants!R17*(1-J17)*Constants!G17*L17*0.000001)</f>
        <v>2009.6164063636488</v>
      </c>
      <c r="AE17" s="28">
        <f t="shared" si="12"/>
        <v>4753.1603798331489</v>
      </c>
      <c r="AF17" s="33">
        <f>Constants!Q17*Constants!H17*(K17+L17)/1000000</f>
        <v>1.2921667627813089</v>
      </c>
      <c r="AG17" s="43">
        <f t="shared" si="16"/>
        <v>11.608157747770344</v>
      </c>
      <c r="AH17" s="9">
        <f>Constants!Q17/Constants!L17*(BAU!K17*I17)</f>
        <v>3225088.4890083503</v>
      </c>
      <c r="AI17" s="9">
        <f>(Constants!Q17*Constants!R17)/Constants!L17*(BAU!L17*J17)</f>
        <v>311488.75192604202</v>
      </c>
      <c r="AJ17" s="9">
        <f>Constants!Q17/Constants!M17*BAU!K17*(1-I17)</f>
        <v>1456226.1799859139</v>
      </c>
      <c r="AK17" s="9">
        <f>(Constants!Q17*Constants!R17)/Constants!M17*BAU!L17*(1-J17)</f>
        <v>2953580.8441558629</v>
      </c>
      <c r="AL17" s="9">
        <f t="shared" si="13"/>
        <v>7946.3842650761699</v>
      </c>
      <c r="AM17" s="28">
        <f>(AL17*Constants!I17*Constants!K17+BAU!AL17*(1-Constants!I17)*Constants!J17)*0.000453592</f>
        <v>2037.004417198651</v>
      </c>
      <c r="AN17" s="33">
        <f t="shared" si="6"/>
        <v>2716.1559626344979</v>
      </c>
      <c r="AO17" s="48">
        <f t="shared" si="17"/>
        <v>18880.743121335563</v>
      </c>
      <c r="AQ17" s="7">
        <v>2034</v>
      </c>
      <c r="AR17" s="58">
        <f>(K17+L17+K35+L35+K53+L53)/(Constants!N17+Constants!O17+Constants!P17)</f>
        <v>5.0163480451590206E-2</v>
      </c>
      <c r="AS17" s="53">
        <f t="shared" si="7"/>
        <v>12677.856897246413</v>
      </c>
      <c r="AT17" s="53">
        <f t="shared" si="8"/>
        <v>6135.9650765888218</v>
      </c>
      <c r="AU17" s="53">
        <f t="shared" si="8"/>
        <v>6541.8918206575918</v>
      </c>
      <c r="AV17" s="53">
        <f t="shared" si="8"/>
        <v>55213.392224788782</v>
      </c>
      <c r="AW17" s="53">
        <f t="shared" si="9"/>
        <v>3.6677239081153434</v>
      </c>
      <c r="AX17" s="54">
        <f t="shared" si="14"/>
        <v>41.037162647774736</v>
      </c>
    </row>
    <row r="18" spans="1:50" ht="15.75" thickBot="1" x14ac:dyDescent="0.3">
      <c r="A18" s="26">
        <v>2035</v>
      </c>
      <c r="B18" s="89">
        <v>0</v>
      </c>
      <c r="C18" s="85">
        <v>0.27272727272727271</v>
      </c>
      <c r="D18" s="85">
        <v>350</v>
      </c>
      <c r="E18" s="85">
        <v>80</v>
      </c>
      <c r="F18" s="85">
        <v>350</v>
      </c>
      <c r="G18" s="85">
        <v>74</v>
      </c>
      <c r="H18" s="91">
        <v>0.03</v>
      </c>
      <c r="I18" s="91">
        <v>0.7</v>
      </c>
      <c r="J18" s="91">
        <v>0.1</v>
      </c>
      <c r="K18" s="94">
        <v>1252.3399300443314</v>
      </c>
      <c r="L18" s="97">
        <v>1109.2636363636368</v>
      </c>
      <c r="M18" s="18"/>
      <c r="N18" s="61">
        <v>2035</v>
      </c>
      <c r="O18" s="35">
        <f>Constants!N18*Constants!B18-B18</f>
        <v>25041.729017719965</v>
      </c>
      <c r="P18" s="16">
        <f t="shared" si="0"/>
        <v>4</v>
      </c>
      <c r="Q18" s="16">
        <f t="shared" si="1"/>
        <v>1.046</v>
      </c>
      <c r="R18" s="16">
        <f t="shared" si="2"/>
        <v>1.052</v>
      </c>
      <c r="S18" s="27">
        <f t="shared" si="10"/>
        <v>4</v>
      </c>
      <c r="T18" s="16">
        <f t="shared" si="3"/>
        <v>1.052</v>
      </c>
      <c r="U18" s="50">
        <f t="shared" si="4"/>
        <v>5009.3597201773255</v>
      </c>
      <c r="V18" s="50">
        <f t="shared" si="4"/>
        <v>1166.945345454546</v>
      </c>
      <c r="W18" s="50">
        <f>IF(O18&gt;0,IF(BAU!V18/BAU!O18&gt;C18,BAU!O18*C18,BAU!V18),0)</f>
        <v>1166.945345454546</v>
      </c>
      <c r="X18" s="50">
        <f t="shared" si="11"/>
        <v>0</v>
      </c>
      <c r="Y18" s="50">
        <f t="shared" si="5"/>
        <v>-18865.423952088091</v>
      </c>
      <c r="Z18" s="50">
        <f t="shared" si="15"/>
        <v>-212926.90295609561</v>
      </c>
      <c r="AA18" s="27">
        <f>(Constants!Q18*I18*Constants!F18*K18*0.000001)</f>
        <v>1693.6645213919535</v>
      </c>
      <c r="AB18" s="27">
        <f>(Constants!Q18*(1-I18)*Constants!G18*K18*0.000001)</f>
        <v>1049.8991803526653</v>
      </c>
      <c r="AC18" s="27">
        <f>(Constants!Q18*Constants!R18*J18*Constants!F18*L18*0.000001)</f>
        <v>160.73230090909095</v>
      </c>
      <c r="AD18" s="27">
        <f>(Constants!Q18*Constants!R18*(1-J18)*Constants!G18*L18*0.000001)</f>
        <v>2092.3901314772734</v>
      </c>
      <c r="AE18" s="47">
        <f t="shared" si="12"/>
        <v>4996.6861341309832</v>
      </c>
      <c r="AF18" s="36">
        <f>Constants!Q18*Constants!H18*(K18+L18)/1000000</f>
        <v>1.3579220506845817</v>
      </c>
      <c r="AG18" s="49">
        <f t="shared" si="16"/>
        <v>12.966079798454926</v>
      </c>
      <c r="AH18" s="27">
        <f>Constants!Q18/Constants!L18*(BAU!K18*I18)</f>
        <v>3417402.1819853783</v>
      </c>
      <c r="AI18" s="27">
        <f>(Constants!Q18*Constants!R18)/Constants!L18*(BAU!L18*J18)</f>
        <v>324318.60554699547</v>
      </c>
      <c r="AJ18" s="27">
        <f>Constants!Q18/Constants!M18*BAU!K18*(1-I18)</f>
        <v>1543061.699518909</v>
      </c>
      <c r="AK18" s="27">
        <f>(Constants!Q18*Constants!R18)/Constants!M18*BAU!L18*(1-J18)</f>
        <v>3075235.3490259754</v>
      </c>
      <c r="AL18" s="27">
        <f t="shared" si="13"/>
        <v>8360.0178360772588</v>
      </c>
      <c r="AM18" s="47">
        <f>(AL18*Constants!I18*Constants!K18+BAU!AL18*(1-Constants!I18)*Constants!J18)*0.000453592</f>
        <v>2140.9597285431032</v>
      </c>
      <c r="AN18" s="36">
        <f t="shared" si="6"/>
        <v>2855.72640558788</v>
      </c>
      <c r="AO18" s="51">
        <f t="shared" si="17"/>
        <v>21736.469526923443</v>
      </c>
      <c r="AQ18" s="7">
        <v>2035</v>
      </c>
      <c r="AR18" s="58">
        <f>(K18+L18+K36+L36+K54+L54)/(Constants!N18+Constants!O18+Constants!P18)</f>
        <v>5.0960534047528178E-2</v>
      </c>
      <c r="AS18" s="55">
        <f t="shared" si="7"/>
        <v>12983.952084824856</v>
      </c>
      <c r="AT18" s="55">
        <f t="shared" si="8"/>
        <v>6268.2797277675727</v>
      </c>
      <c r="AU18" s="55">
        <f t="shared" si="8"/>
        <v>6715.6723570572831</v>
      </c>
      <c r="AV18" s="55">
        <f t="shared" si="8"/>
        <v>61929.064581846069</v>
      </c>
      <c r="AW18" s="55">
        <f t="shared" si="9"/>
        <v>3.7528019413131695</v>
      </c>
      <c r="AX18" s="54">
        <f t="shared" si="14"/>
        <v>45.173913755703651</v>
      </c>
    </row>
    <row r="20" spans="1:50" ht="15.75" thickBot="1" x14ac:dyDescent="0.3">
      <c r="B20" s="28" t="s">
        <v>208</v>
      </c>
      <c r="C20" s="9"/>
      <c r="D20" s="9"/>
      <c r="E20" s="9"/>
      <c r="F20" s="9"/>
      <c r="G20" s="9"/>
      <c r="H20" s="9"/>
      <c r="I20" s="9"/>
      <c r="J20" s="9"/>
      <c r="K20" s="9"/>
      <c r="L20" s="9"/>
      <c r="X20" s="22"/>
    </row>
    <row r="21" spans="1:50" ht="105" x14ac:dyDescent="0.25">
      <c r="B21" s="29" t="s">
        <v>157</v>
      </c>
      <c r="C21" s="30" t="s">
        <v>158</v>
      </c>
      <c r="D21" s="30" t="s">
        <v>159</v>
      </c>
      <c r="E21" s="30" t="s">
        <v>160</v>
      </c>
      <c r="F21" s="30" t="s">
        <v>161</v>
      </c>
      <c r="G21" s="30" t="s">
        <v>162</v>
      </c>
      <c r="H21" s="30" t="s">
        <v>163</v>
      </c>
      <c r="I21" s="30" t="s">
        <v>164</v>
      </c>
      <c r="J21" s="30" t="s">
        <v>165</v>
      </c>
      <c r="K21" s="30" t="s">
        <v>210</v>
      </c>
      <c r="L21" s="31" t="s">
        <v>211</v>
      </c>
      <c r="M21" s="2"/>
      <c r="O21" s="45" t="s">
        <v>166</v>
      </c>
      <c r="P21" s="46" t="s">
        <v>167</v>
      </c>
      <c r="Q21" s="46" t="s">
        <v>168</v>
      </c>
      <c r="R21" s="46" t="s">
        <v>169</v>
      </c>
      <c r="S21" s="46" t="s">
        <v>170</v>
      </c>
      <c r="T21" s="46" t="s">
        <v>171</v>
      </c>
      <c r="U21" s="23" t="s">
        <v>212</v>
      </c>
      <c r="V21" s="23" t="s">
        <v>213</v>
      </c>
      <c r="W21" s="23" t="s">
        <v>214</v>
      </c>
      <c r="X21" s="23" t="s">
        <v>224</v>
      </c>
      <c r="Y21" s="23" t="s">
        <v>225</v>
      </c>
      <c r="Z21" s="23" t="s">
        <v>217</v>
      </c>
      <c r="AA21" s="23" t="s">
        <v>175</v>
      </c>
      <c r="AB21" s="23" t="s">
        <v>176</v>
      </c>
      <c r="AC21" s="23" t="s">
        <v>177</v>
      </c>
      <c r="AD21" s="23" t="s">
        <v>178</v>
      </c>
      <c r="AE21" s="23" t="s">
        <v>179</v>
      </c>
      <c r="AF21" s="23" t="s">
        <v>180</v>
      </c>
      <c r="AG21" s="23" t="s">
        <v>235</v>
      </c>
      <c r="AH21" s="23" t="s">
        <v>181</v>
      </c>
      <c r="AI21" s="23" t="s">
        <v>236</v>
      </c>
      <c r="AJ21" s="23" t="s">
        <v>182</v>
      </c>
      <c r="AK21" s="23" t="s">
        <v>237</v>
      </c>
      <c r="AL21" s="23" t="s">
        <v>183</v>
      </c>
      <c r="AM21" s="23" t="s">
        <v>184</v>
      </c>
      <c r="AN21" s="23" t="s">
        <v>185</v>
      </c>
      <c r="AO21" s="24" t="s">
        <v>186</v>
      </c>
      <c r="AP21" s="2"/>
      <c r="AQ21" s="7"/>
    </row>
    <row r="22" spans="1:50" ht="30" x14ac:dyDescent="0.25">
      <c r="B22" s="13" t="s">
        <v>45</v>
      </c>
      <c r="C22" s="3" t="s">
        <v>47</v>
      </c>
      <c r="D22" s="3" t="s">
        <v>188</v>
      </c>
      <c r="E22" s="3" t="s">
        <v>51</v>
      </c>
      <c r="F22" s="3" t="s">
        <v>53</v>
      </c>
      <c r="G22" s="3" t="s">
        <v>55</v>
      </c>
      <c r="H22" s="3" t="s">
        <v>57</v>
      </c>
      <c r="I22" s="3" t="s">
        <v>59</v>
      </c>
      <c r="J22" s="3" t="s">
        <v>61</v>
      </c>
      <c r="K22" s="12" t="s">
        <v>63</v>
      </c>
      <c r="L22" s="32" t="s">
        <v>65</v>
      </c>
      <c r="M22" s="2"/>
      <c r="O22" s="19" t="s">
        <v>189</v>
      </c>
      <c r="P22" s="12" t="s">
        <v>69</v>
      </c>
      <c r="Q22" s="12" t="s">
        <v>71</v>
      </c>
      <c r="R22" s="12" t="s">
        <v>73</v>
      </c>
      <c r="S22" s="12" t="s">
        <v>190</v>
      </c>
      <c r="T22" s="12" t="s">
        <v>191</v>
      </c>
      <c r="U22" s="12" t="s">
        <v>114</v>
      </c>
      <c r="V22" s="12" t="s">
        <v>116</v>
      </c>
      <c r="W22" s="12" t="s">
        <v>117</v>
      </c>
      <c r="X22" s="12" t="s">
        <v>120</v>
      </c>
      <c r="Y22" s="12" t="s">
        <v>119</v>
      </c>
      <c r="Z22" s="12" t="s">
        <v>121</v>
      </c>
      <c r="AA22" s="12" t="s">
        <v>85</v>
      </c>
      <c r="AB22" s="12" t="s">
        <v>87</v>
      </c>
      <c r="AC22" s="12" t="s">
        <v>89</v>
      </c>
      <c r="AD22" s="12" t="s">
        <v>91</v>
      </c>
      <c r="AE22" s="12" t="s">
        <v>93</v>
      </c>
      <c r="AF22" s="12" t="s">
        <v>192</v>
      </c>
      <c r="AG22" s="12" t="s">
        <v>96</v>
      </c>
      <c r="AH22" s="12" t="s">
        <v>98</v>
      </c>
      <c r="AI22" s="12" t="s">
        <v>100</v>
      </c>
      <c r="AJ22" s="12" t="s">
        <v>102</v>
      </c>
      <c r="AK22" s="12" t="s">
        <v>104</v>
      </c>
      <c r="AL22" s="12" t="s">
        <v>106</v>
      </c>
      <c r="AM22" s="12" t="s">
        <v>108</v>
      </c>
      <c r="AN22" s="12" t="s">
        <v>110</v>
      </c>
      <c r="AO22" s="32" t="s">
        <v>112</v>
      </c>
      <c r="AP22" s="2"/>
      <c r="AQ22" s="7"/>
    </row>
    <row r="23" spans="1:50" ht="24.75" x14ac:dyDescent="0.25">
      <c r="B23" s="20" t="s">
        <v>193</v>
      </c>
      <c r="C23" s="17" t="s">
        <v>148</v>
      </c>
      <c r="D23" s="17" t="s">
        <v>194</v>
      </c>
      <c r="E23" s="17" t="s">
        <v>195</v>
      </c>
      <c r="F23" s="17" t="s">
        <v>196</v>
      </c>
      <c r="G23" s="17" t="s">
        <v>197</v>
      </c>
      <c r="H23" s="17" t="s">
        <v>148</v>
      </c>
      <c r="I23" s="17" t="s">
        <v>148</v>
      </c>
      <c r="J23" s="17" t="s">
        <v>148</v>
      </c>
      <c r="K23" s="17" t="s">
        <v>223</v>
      </c>
      <c r="L23" s="21" t="s">
        <v>223</v>
      </c>
      <c r="M23" s="17"/>
      <c r="O23" s="20" t="s">
        <v>193</v>
      </c>
      <c r="P23" s="10" t="s">
        <v>198</v>
      </c>
      <c r="Q23" s="10" t="s">
        <v>198</v>
      </c>
      <c r="R23" s="10" t="s">
        <v>198</v>
      </c>
      <c r="S23" s="10" t="s">
        <v>193</v>
      </c>
      <c r="T23" s="10" t="s">
        <v>193</v>
      </c>
      <c r="U23" s="10" t="s">
        <v>193</v>
      </c>
      <c r="V23" s="10" t="s">
        <v>193</v>
      </c>
      <c r="W23" s="10" t="s">
        <v>193</v>
      </c>
      <c r="X23" s="10" t="s">
        <v>193</v>
      </c>
      <c r="Y23" s="10" t="s">
        <v>193</v>
      </c>
      <c r="Z23" s="10" t="s">
        <v>193</v>
      </c>
      <c r="AA23" s="10" t="s">
        <v>201</v>
      </c>
      <c r="AB23" s="10" t="s">
        <v>201</v>
      </c>
      <c r="AC23" s="10" t="s">
        <v>201</v>
      </c>
      <c r="AD23" s="10" t="s">
        <v>201</v>
      </c>
      <c r="AE23" s="10" t="s">
        <v>201</v>
      </c>
      <c r="AF23" s="10" t="s">
        <v>202</v>
      </c>
      <c r="AG23" s="10" t="s">
        <v>202</v>
      </c>
      <c r="AH23" s="10" t="s">
        <v>203</v>
      </c>
      <c r="AI23" s="10" t="s">
        <v>203</v>
      </c>
      <c r="AJ23" s="10" t="s">
        <v>203</v>
      </c>
      <c r="AK23" s="10" t="s">
        <v>203</v>
      </c>
      <c r="AL23" s="10" t="s">
        <v>204</v>
      </c>
      <c r="AM23" s="10" t="s">
        <v>205</v>
      </c>
      <c r="AN23" s="10" t="s">
        <v>205</v>
      </c>
      <c r="AO23" s="25" t="s">
        <v>206</v>
      </c>
      <c r="AP23" s="10"/>
      <c r="AQ23" s="7"/>
    </row>
    <row r="24" spans="1:50" x14ac:dyDescent="0.25">
      <c r="A24" s="7">
        <v>2023</v>
      </c>
      <c r="B24" s="88">
        <v>0</v>
      </c>
      <c r="C24" s="82">
        <v>0.9</v>
      </c>
      <c r="D24" s="82">
        <v>350</v>
      </c>
      <c r="E24" s="82">
        <v>53</v>
      </c>
      <c r="F24" s="82">
        <v>350</v>
      </c>
      <c r="G24" s="82">
        <v>41</v>
      </c>
      <c r="H24" s="90">
        <v>0.03</v>
      </c>
      <c r="I24" s="90">
        <v>1</v>
      </c>
      <c r="J24" s="90">
        <v>1</v>
      </c>
      <c r="K24" s="92">
        <v>10.987264233126552</v>
      </c>
      <c r="L24" s="96">
        <v>64.742424242424022</v>
      </c>
      <c r="M24" s="18"/>
      <c r="N24" s="7">
        <v>2023</v>
      </c>
      <c r="O24" s="34">
        <f>Constants!O6*Constants!B6-B24</f>
        <v>0</v>
      </c>
      <c r="P24" s="9">
        <f t="shared" ref="P24:P36" si="18">(D24*0.01+0.5)*I24+(F24*0.01+0.5)*(1-I24)</f>
        <v>4</v>
      </c>
      <c r="Q24" s="9">
        <f t="shared" ref="Q24:Q36" si="19">(E24*0.01+0.3)*J24+(G24*0.01+0.3)*(1-J24)</f>
        <v>0.83000000000000007</v>
      </c>
      <c r="R24" s="9">
        <f t="shared" ref="R24:R36" si="20">Q24+0.2*H24</f>
        <v>0.83600000000000008</v>
      </c>
      <c r="S24" s="9">
        <f>IF(P24&gt;4,4,P24)</f>
        <v>4</v>
      </c>
      <c r="T24" s="9">
        <f t="shared" ref="T24:T36" si="21">IF(H24=0,IF(R24&gt;1.1,1.1,R24),IF(R24&gt;1.3,1.3,R24))</f>
        <v>0.83600000000000008</v>
      </c>
      <c r="U24" s="41">
        <f t="shared" ref="U24:V36" si="22">S24*K24</f>
        <v>43.94905693250621</v>
      </c>
      <c r="V24" s="41">
        <f t="shared" si="22"/>
        <v>54.124666666666485</v>
      </c>
      <c r="W24" s="41">
        <f>IF(O24&gt;0,IF(BAU!V24/BAU!O24&gt;C24,BAU!O24*C24,BAU!V24),0)</f>
        <v>0</v>
      </c>
      <c r="X24" s="41">
        <f>V24-W24</f>
        <v>54.124666666666485</v>
      </c>
      <c r="Y24" s="41">
        <f t="shared" ref="Y24:Y36" si="23">U24-(O24-W24)</f>
        <v>43.94905693250621</v>
      </c>
      <c r="Z24" s="41">
        <f>X24+Y24</f>
        <v>98.073723599172695</v>
      </c>
      <c r="AA24" s="9">
        <f>(Constants!Q6*I24*Constants!F6*K24*0.000001)</f>
        <v>22.364576346529095</v>
      </c>
      <c r="AB24" s="9">
        <f>(Constants!Q6*(1-I24)*Constants!G6*K24*0.000001)</f>
        <v>0</v>
      </c>
      <c r="AC24" s="9">
        <f>(Constants!Q6*Constants!R6*J24*Constants!F6*L24*0.000001)</f>
        <v>98.83740340909057</v>
      </c>
      <c r="AD24" s="9">
        <f>(Constants!Q6*Constants!R6*(1-J24)*Constants!G6*L24*0.000001)</f>
        <v>0</v>
      </c>
      <c r="AE24" s="28">
        <f>AA24+AB24+AC24+AD24</f>
        <v>121.20197975561966</v>
      </c>
      <c r="AF24" s="33">
        <f>Constants!Q6*Constants!H6*(K24+L24)/1000000</f>
        <v>5.4866159300536392E-2</v>
      </c>
      <c r="AG24" s="43">
        <f>AF24</f>
        <v>5.4866159300536392E-2</v>
      </c>
      <c r="AH24" s="9">
        <f>Constants!Q6/Constants!L6*(BAU!K24*I24)</f>
        <v>42831.708027442488</v>
      </c>
      <c r="AI24" s="9">
        <f>(Constants!Q6*Constants!R6)/Constants!L6*(BAU!L24*J24)</f>
        <v>189289.29121725666</v>
      </c>
      <c r="AJ24" s="9">
        <f>Constants!Q6/Constants!M6*BAU!K24*(1-I24)</f>
        <v>0</v>
      </c>
      <c r="AK24" s="9">
        <f>(Constants!Q6*Constants!R6)/Constants!M6*BAU!L24*(1-J24)</f>
        <v>0</v>
      </c>
      <c r="AL24" s="9">
        <f>(AH24+AI24+AJ24+AK24)*0.001</f>
        <v>232.12099924469914</v>
      </c>
      <c r="AM24" s="28">
        <f>(AL24*Constants!I6*Constants!K6+BAU!AL24*(1-Constants!I6)*Constants!J6)*0.000453592</f>
        <v>74.856294332712707</v>
      </c>
      <c r="AN24" s="33">
        <f t="shared" ref="AN24:AN36" si="24">AE24-AM24</f>
        <v>46.345685422906953</v>
      </c>
      <c r="AO24" s="48">
        <f>AN24</f>
        <v>46.345685422906953</v>
      </c>
      <c r="AQ24" s="7"/>
    </row>
    <row r="25" spans="1:50" x14ac:dyDescent="0.25">
      <c r="A25" s="7">
        <v>2024</v>
      </c>
      <c r="B25" s="88">
        <v>0</v>
      </c>
      <c r="C25" s="82">
        <v>0.9</v>
      </c>
      <c r="D25" s="82">
        <v>350</v>
      </c>
      <c r="E25" s="82">
        <v>57</v>
      </c>
      <c r="F25" s="82">
        <v>350</v>
      </c>
      <c r="G25" s="82">
        <v>44</v>
      </c>
      <c r="H25" s="90">
        <v>0.03</v>
      </c>
      <c r="I25" s="90">
        <v>1</v>
      </c>
      <c r="J25" s="90">
        <v>1</v>
      </c>
      <c r="K25" s="92">
        <v>11.073907371795485</v>
      </c>
      <c r="L25" s="96">
        <v>69.61818181818235</v>
      </c>
      <c r="M25" s="18"/>
      <c r="N25" s="7">
        <v>2024</v>
      </c>
      <c r="O25" s="34">
        <f>Constants!O7*Constants!B7-B25</f>
        <v>0</v>
      </c>
      <c r="P25" s="9">
        <f t="shared" si="18"/>
        <v>4</v>
      </c>
      <c r="Q25" s="9">
        <f t="shared" si="19"/>
        <v>0.87000000000000011</v>
      </c>
      <c r="R25" s="9">
        <f t="shared" si="20"/>
        <v>0.87600000000000011</v>
      </c>
      <c r="S25" s="9">
        <f t="shared" ref="S25:S36" si="25">IF(P25&gt;4,4,P25)</f>
        <v>4</v>
      </c>
      <c r="T25" s="9">
        <f t="shared" si="21"/>
        <v>0.87600000000000011</v>
      </c>
      <c r="U25" s="41">
        <f t="shared" si="22"/>
        <v>44.295629487181941</v>
      </c>
      <c r="V25" s="41">
        <f t="shared" si="22"/>
        <v>60.985527272727744</v>
      </c>
      <c r="W25" s="41">
        <f>IF(O25&gt;0,IF(BAU!V25/BAU!O25&gt;C25,BAU!O25*C25,BAU!V25),0)</f>
        <v>0</v>
      </c>
      <c r="X25" s="41">
        <f t="shared" ref="X25:X36" si="26">V25-W25</f>
        <v>60.985527272727744</v>
      </c>
      <c r="Y25" s="41">
        <f t="shared" si="23"/>
        <v>44.295629487181941</v>
      </c>
      <c r="Z25" s="41">
        <f>Z24+X25+Y25</f>
        <v>203.35488035908239</v>
      </c>
      <c r="AA25" s="9">
        <f>(Constants!Q7*I25*Constants!F7*K25*0.000001)</f>
        <v>22.158888650962766</v>
      </c>
      <c r="AB25" s="9">
        <f>(Constants!Q7*(1-I25)*Constants!G7*K25*0.000001)</f>
        <v>0</v>
      </c>
      <c r="AC25" s="9">
        <f>(Constants!Q7*Constants!R7*J25*Constants!F7*L25*0.000001)</f>
        <v>104.47948636363716</v>
      </c>
      <c r="AD25" s="9">
        <f>(Constants!Q7*Constants!R7*(1-J25)*Constants!G7*L25*0.000001)</f>
        <v>0</v>
      </c>
      <c r="AE25" s="28">
        <f t="shared" ref="AE25:AE36" si="27">AA25+AB25+AC25+AD25</f>
        <v>126.63837501459993</v>
      </c>
      <c r="AF25" s="33">
        <f>Constants!Q7*Constants!H7*(K25+L25)/1000000</f>
        <v>5.2893664464030474E-2</v>
      </c>
      <c r="AG25" s="43">
        <f>AG24+AF25</f>
        <v>0.10775982376456686</v>
      </c>
      <c r="AH25" s="9">
        <f>Constants!Q7/Constants!L7*(BAU!K25*I25)</f>
        <v>43169.469415473926</v>
      </c>
      <c r="AI25" s="9">
        <f>(Constants!Q7*Constants!R7)/Constants!L7*(BAU!L25*J25)</f>
        <v>203544.68412943144</v>
      </c>
      <c r="AJ25" s="9">
        <f>Constants!Q7/Constants!M7*BAU!K25*(1-I25)</f>
        <v>0</v>
      </c>
      <c r="AK25" s="9">
        <f>(Constants!Q7*Constants!R7)/Constants!M7*BAU!L25*(1-J25)</f>
        <v>0</v>
      </c>
      <c r="AL25" s="9">
        <f t="shared" ref="AL25:AL36" si="28">(AH25+AI25+AJ25+AK25)*0.001</f>
        <v>246.71415354490537</v>
      </c>
      <c r="AM25" s="28">
        <f>(AL25*Constants!I7*Constants!K7+BAU!AL25*(1-Constants!I7)*Constants!J7)*0.000453592</f>
        <v>76.939142999926347</v>
      </c>
      <c r="AN25" s="33">
        <f t="shared" si="24"/>
        <v>49.699232014673584</v>
      </c>
      <c r="AO25" s="48">
        <f>AN25+AO24</f>
        <v>96.044917437580537</v>
      </c>
      <c r="AQ25" s="7"/>
    </row>
    <row r="26" spans="1:50" x14ac:dyDescent="0.25">
      <c r="A26" s="7">
        <v>2025</v>
      </c>
      <c r="B26" s="88">
        <v>0</v>
      </c>
      <c r="C26" s="82">
        <v>0.9</v>
      </c>
      <c r="D26" s="82">
        <v>350</v>
      </c>
      <c r="E26" s="82">
        <v>60</v>
      </c>
      <c r="F26" s="82">
        <v>350</v>
      </c>
      <c r="G26" s="82">
        <v>47</v>
      </c>
      <c r="H26" s="90">
        <v>0.03</v>
      </c>
      <c r="I26" s="90">
        <v>1</v>
      </c>
      <c r="J26" s="90">
        <v>1</v>
      </c>
      <c r="K26" s="92">
        <v>11.300771473725945</v>
      </c>
      <c r="L26" s="96">
        <v>74.493939393939215</v>
      </c>
      <c r="M26" s="18"/>
      <c r="N26" s="7">
        <v>2025</v>
      </c>
      <c r="O26" s="34">
        <f>Constants!O8*Constants!B8-B26</f>
        <v>2263.6138379596437</v>
      </c>
      <c r="P26" s="9">
        <f t="shared" si="18"/>
        <v>4</v>
      </c>
      <c r="Q26" s="9">
        <f t="shared" si="19"/>
        <v>0.89999999999999991</v>
      </c>
      <c r="R26" s="9">
        <f t="shared" si="20"/>
        <v>0.90599999999999992</v>
      </c>
      <c r="S26" s="9">
        <f t="shared" si="25"/>
        <v>4</v>
      </c>
      <c r="T26" s="9">
        <f t="shared" si="21"/>
        <v>0.90599999999999992</v>
      </c>
      <c r="U26" s="41">
        <f t="shared" si="22"/>
        <v>45.203085894903779</v>
      </c>
      <c r="V26" s="41">
        <f t="shared" si="22"/>
        <v>67.49150909090892</v>
      </c>
      <c r="W26" s="41">
        <f>IF(O26&gt;0,IF(BAU!V26/BAU!O26&gt;C26,BAU!O26*C26,BAU!V26),0)</f>
        <v>67.49150909090892</v>
      </c>
      <c r="X26" s="41">
        <f t="shared" si="26"/>
        <v>0</v>
      </c>
      <c r="Y26" s="41">
        <f t="shared" si="23"/>
        <v>-2150.9192429738309</v>
      </c>
      <c r="Z26" s="41">
        <f t="shared" ref="Z26:Z36" si="29">Z25+X26+Y26</f>
        <v>-1947.5643626147485</v>
      </c>
      <c r="AA26" s="9">
        <f>(Constants!Q8*I26*Constants!F8*K26*0.000001)</f>
        <v>22.22296710308207</v>
      </c>
      <c r="AB26" s="9">
        <f>(Constants!Q8*(1-I26)*Constants!G8*K26*0.000001)</f>
        <v>0</v>
      </c>
      <c r="AC26" s="9">
        <f>(Constants!Q8*Constants!R8*J26*Constants!F8*L26*0.000001)</f>
        <v>109.8692488636361</v>
      </c>
      <c r="AD26" s="9">
        <f>(Constants!Q8*Constants!R8*(1-J26)*Constants!G8*L26*0.000001)</f>
        <v>0</v>
      </c>
      <c r="AE26" s="28">
        <f t="shared" si="27"/>
        <v>132.09221596671819</v>
      </c>
      <c r="AF26" s="33">
        <f>Constants!Q8*Constants!H8*(K26+L26)/1000000</f>
        <v>4.9331958748907466E-2</v>
      </c>
      <c r="AG26" s="43">
        <f t="shared" ref="AG26:AG36" si="30">AG25+AF26</f>
        <v>0.15709178251347433</v>
      </c>
      <c r="AH26" s="9">
        <f>Constants!Q8/Constants!L8*(BAU!K26*I26)</f>
        <v>44053.854897575715</v>
      </c>
      <c r="AI26" s="9">
        <f>(Constants!Q8*Constants!R8)/Constants!L8*(BAU!L26*J26)</f>
        <v>217800.07704160191</v>
      </c>
      <c r="AJ26" s="9">
        <f>Constants!Q8/Constants!M8*BAU!K26*(1-I26)</f>
        <v>0</v>
      </c>
      <c r="AK26" s="9">
        <f>(Constants!Q8*Constants!R8)/Constants!M8*BAU!L26*(1-J26)</f>
        <v>0</v>
      </c>
      <c r="AL26" s="9">
        <f t="shared" si="28"/>
        <v>261.85393193917764</v>
      </c>
      <c r="AM26" s="28">
        <f>(AL26*Constants!I8*Constants!K8+BAU!AL26*(1-Constants!I8)*Constants!J8)*0.000453592</f>
        <v>79.971172597131172</v>
      </c>
      <c r="AN26" s="33">
        <f t="shared" si="24"/>
        <v>52.121043369587014</v>
      </c>
      <c r="AO26" s="48">
        <f t="shared" ref="AO26:AO36" si="31">AN26+AO25</f>
        <v>148.16596080716755</v>
      </c>
      <c r="AQ26" s="7"/>
    </row>
    <row r="27" spans="1:50" x14ac:dyDescent="0.25">
      <c r="A27" s="7">
        <v>2026</v>
      </c>
      <c r="B27" s="88">
        <v>0</v>
      </c>
      <c r="C27" s="82">
        <v>0.9</v>
      </c>
      <c r="D27" s="82">
        <v>350</v>
      </c>
      <c r="E27" s="82">
        <v>64</v>
      </c>
      <c r="F27" s="82">
        <v>350</v>
      </c>
      <c r="G27" s="82">
        <v>50</v>
      </c>
      <c r="H27" s="90">
        <v>0.03</v>
      </c>
      <c r="I27" s="90">
        <v>1</v>
      </c>
      <c r="J27" s="90">
        <v>1</v>
      </c>
      <c r="K27" s="92">
        <v>137.56228222723075</v>
      </c>
      <c r="L27" s="96">
        <v>79.369696969697543</v>
      </c>
      <c r="M27" s="18"/>
      <c r="N27" s="7">
        <v>2026</v>
      </c>
      <c r="O27" s="34">
        <f>Constants!O9*Constants!B9-B27</f>
        <v>2316.0792912014749</v>
      </c>
      <c r="P27" s="9">
        <f t="shared" si="18"/>
        <v>4</v>
      </c>
      <c r="Q27" s="9">
        <f t="shared" si="19"/>
        <v>0.94</v>
      </c>
      <c r="R27" s="9">
        <f t="shared" si="20"/>
        <v>0.94599999999999995</v>
      </c>
      <c r="S27" s="9">
        <f t="shared" si="25"/>
        <v>4</v>
      </c>
      <c r="T27" s="9">
        <f t="shared" si="21"/>
        <v>0.94599999999999995</v>
      </c>
      <c r="U27" s="41">
        <f t="shared" si="22"/>
        <v>550.24912890892301</v>
      </c>
      <c r="V27" s="41">
        <f t="shared" si="22"/>
        <v>75.083733333333868</v>
      </c>
      <c r="W27" s="41">
        <f>IF(O27&gt;0,IF(BAU!V27/BAU!O27&gt;C27,BAU!O27*C27,BAU!V27),0)</f>
        <v>75.083733333333868</v>
      </c>
      <c r="X27" s="41">
        <f t="shared" si="26"/>
        <v>0</v>
      </c>
      <c r="Y27" s="41">
        <f t="shared" si="23"/>
        <v>-1690.7464289592181</v>
      </c>
      <c r="Z27" s="41">
        <f t="shared" si="29"/>
        <v>-3638.3107915739665</v>
      </c>
      <c r="AA27" s="9">
        <f>(Constants!Q9*I27*Constants!F9*K27*0.000001)</f>
        <v>265.77032926300978</v>
      </c>
      <c r="AB27" s="9">
        <f>(Constants!Q9*(1-I27)*Constants!G9*K27*0.000001)</f>
        <v>0</v>
      </c>
      <c r="AC27" s="9">
        <f>(Constants!Q9*Constants!R9*J27*Constants!F9*L27*0.000001)</f>
        <v>115.00669090909173</v>
      </c>
      <c r="AD27" s="9">
        <f>(Constants!Q9*Constants!R9*(1-J27)*Constants!G9*L27*0.000001)</f>
        <v>0</v>
      </c>
      <c r="AE27" s="28">
        <f t="shared" si="27"/>
        <v>380.77702017210152</v>
      </c>
      <c r="AF27" s="33">
        <f>Constants!Q9*Constants!H9*(K27+L27)/1000000</f>
        <v>0.12473588803823377</v>
      </c>
      <c r="AG27" s="43">
        <f t="shared" si="30"/>
        <v>0.2818276705517081</v>
      </c>
      <c r="AH27" s="9">
        <f>Constants!Q9/Constants!L9*(BAU!K27*I27)</f>
        <v>536259.74427564524</v>
      </c>
      <c r="AI27" s="9">
        <f>(Constants!Q9*Constants!R9)/Constants!L9*(BAU!L27*J27)</f>
        <v>232055.46995377669</v>
      </c>
      <c r="AJ27" s="9">
        <f>Constants!Q9/Constants!M9*BAU!K27*(1-I27)</f>
        <v>0</v>
      </c>
      <c r="AK27" s="9">
        <f>(Constants!Q9*Constants!R9)/Constants!M9*BAU!L27*(1-J27)</f>
        <v>0</v>
      </c>
      <c r="AL27" s="9">
        <f t="shared" si="28"/>
        <v>768.31521422942194</v>
      </c>
      <c r="AM27" s="28">
        <f>(AL27*Constants!I9*Constants!K9+BAU!AL27*(1-Constants!I9)*Constants!J9)*0.000453592</f>
        <v>233.79545443254833</v>
      </c>
      <c r="AN27" s="33">
        <f t="shared" si="24"/>
        <v>146.98156573955319</v>
      </c>
      <c r="AO27" s="48">
        <f t="shared" si="31"/>
        <v>295.14752654672077</v>
      </c>
      <c r="AQ27" s="7"/>
    </row>
    <row r="28" spans="1:50" x14ac:dyDescent="0.25">
      <c r="A28" s="7">
        <v>2027</v>
      </c>
      <c r="B28" s="88">
        <v>0</v>
      </c>
      <c r="C28" s="82">
        <v>0.9</v>
      </c>
      <c r="D28" s="82">
        <v>350</v>
      </c>
      <c r="E28" s="82">
        <v>68</v>
      </c>
      <c r="F28" s="82">
        <v>350</v>
      </c>
      <c r="G28" s="82">
        <v>52</v>
      </c>
      <c r="H28" s="90">
        <v>0.03</v>
      </c>
      <c r="I28" s="90">
        <v>1</v>
      </c>
      <c r="J28" s="90">
        <v>1</v>
      </c>
      <c r="K28" s="92">
        <v>137.75947347028205</v>
      </c>
      <c r="L28" s="96">
        <v>84.245454545454422</v>
      </c>
      <c r="M28" s="18"/>
      <c r="N28" s="7">
        <v>2027</v>
      </c>
      <c r="O28" s="34">
        <f>Constants!O10*Constants!B10-B28</f>
        <v>2319.4110252996006</v>
      </c>
      <c r="P28" s="9">
        <f t="shared" si="18"/>
        <v>4</v>
      </c>
      <c r="Q28" s="9">
        <f t="shared" si="19"/>
        <v>0.98</v>
      </c>
      <c r="R28" s="9">
        <f t="shared" si="20"/>
        <v>0.98599999999999999</v>
      </c>
      <c r="S28" s="9">
        <f t="shared" si="25"/>
        <v>4</v>
      </c>
      <c r="T28" s="9">
        <f t="shared" si="21"/>
        <v>0.98599999999999999</v>
      </c>
      <c r="U28" s="41">
        <f t="shared" si="22"/>
        <v>551.03789388112818</v>
      </c>
      <c r="V28" s="41">
        <f t="shared" si="22"/>
        <v>83.066018181818052</v>
      </c>
      <c r="W28" s="41">
        <f>IF(O28&gt;0,IF(BAU!V28/BAU!O28&gt;C28,BAU!O28*C28,BAU!V28),0)</f>
        <v>83.066018181818052</v>
      </c>
      <c r="X28" s="41">
        <f t="shared" si="26"/>
        <v>0</v>
      </c>
      <c r="Y28" s="41">
        <f t="shared" si="23"/>
        <v>-1685.3071132366545</v>
      </c>
      <c r="Z28" s="41">
        <f t="shared" si="29"/>
        <v>-5323.6179048106205</v>
      </c>
      <c r="AA28" s="9">
        <f>(Constants!Q10*I28*Constants!F10*K28*0.000001)</f>
        <v>266.15130274458488</v>
      </c>
      <c r="AB28" s="9">
        <f>(Constants!Q10*(1-I28)*Constants!G10*K28*0.000001)</f>
        <v>0</v>
      </c>
      <c r="AC28" s="9">
        <f>(Constants!Q10*Constants!R10*J28*Constants!F10*L28*0.000001)</f>
        <v>122.07166363636345</v>
      </c>
      <c r="AD28" s="9">
        <f>(Constants!Q10*Constants!R10*(1-J28)*Constants!G10*L28*0.000001)</f>
        <v>0</v>
      </c>
      <c r="AE28" s="28">
        <f t="shared" si="27"/>
        <v>388.22296638094832</v>
      </c>
      <c r="AF28" s="33">
        <f>Constants!Q10*Constants!H10*(K28+L28)/1000000</f>
        <v>0.12765283360904847</v>
      </c>
      <c r="AG28" s="43">
        <f t="shared" si="30"/>
        <v>0.40948050416075654</v>
      </c>
      <c r="AH28" s="9">
        <f>Constants!Q10/Constants!L10*(BAU!K28*I28)</f>
        <v>537028.45590109949</v>
      </c>
      <c r="AI28" s="9">
        <f>(Constants!Q10*Constants!R10)/Constants!L10*(BAU!L28*J28)</f>
        <v>246310.86286594722</v>
      </c>
      <c r="AJ28" s="9">
        <f>Constants!Q10/Constants!M10*BAU!K28*(1-I28)</f>
        <v>0</v>
      </c>
      <c r="AK28" s="9">
        <f>(Constants!Q10*Constants!R10)/Constants!M10*BAU!L28*(1-J28)</f>
        <v>0</v>
      </c>
      <c r="AL28" s="9">
        <f t="shared" si="28"/>
        <v>783.33931876704673</v>
      </c>
      <c r="AM28" s="28">
        <f>(AL28*Constants!I10*Constants!K10+BAU!AL28*(1-Constants!I10)*Constants!J10)*0.000453592</f>
        <v>231.11731156911495</v>
      </c>
      <c r="AN28" s="33">
        <f t="shared" si="24"/>
        <v>157.10565481183338</v>
      </c>
      <c r="AO28" s="48">
        <f t="shared" si="31"/>
        <v>452.25318135855412</v>
      </c>
      <c r="AQ28" s="7"/>
    </row>
    <row r="29" spans="1:50" x14ac:dyDescent="0.25">
      <c r="A29" s="7">
        <v>2028</v>
      </c>
      <c r="B29" s="88">
        <v>0</v>
      </c>
      <c r="C29" s="82">
        <v>0.9</v>
      </c>
      <c r="D29" s="82">
        <v>350</v>
      </c>
      <c r="E29" s="82">
        <v>71</v>
      </c>
      <c r="F29" s="82">
        <v>350</v>
      </c>
      <c r="G29" s="82">
        <v>55</v>
      </c>
      <c r="H29" s="90">
        <v>0.03</v>
      </c>
      <c r="I29" s="90">
        <v>1</v>
      </c>
      <c r="J29" s="90">
        <v>1</v>
      </c>
      <c r="K29" s="92">
        <v>136.45380166400901</v>
      </c>
      <c r="L29" s="96">
        <v>89.12121212121275</v>
      </c>
      <c r="M29" s="18"/>
      <c r="N29" s="7">
        <v>2028</v>
      </c>
      <c r="O29" s="34">
        <f>Constants!O11*Constants!B11-B29</f>
        <v>2297.5114247669771</v>
      </c>
      <c r="P29" s="9">
        <f t="shared" si="18"/>
        <v>4</v>
      </c>
      <c r="Q29" s="9">
        <f t="shared" si="19"/>
        <v>1.01</v>
      </c>
      <c r="R29" s="9">
        <f t="shared" si="20"/>
        <v>1.016</v>
      </c>
      <c r="S29" s="9">
        <f t="shared" si="25"/>
        <v>4</v>
      </c>
      <c r="T29" s="9">
        <f t="shared" si="21"/>
        <v>1.016</v>
      </c>
      <c r="U29" s="41">
        <f t="shared" si="22"/>
        <v>545.81520665603603</v>
      </c>
      <c r="V29" s="41">
        <f t="shared" si="22"/>
        <v>90.547151515152152</v>
      </c>
      <c r="W29" s="41">
        <f>IF(O29&gt;0,IF(BAU!V29/BAU!O29&gt;C29,BAU!O29*C29,BAU!V29),0)</f>
        <v>90.547151515152152</v>
      </c>
      <c r="X29" s="41">
        <f t="shared" si="26"/>
        <v>0</v>
      </c>
      <c r="Y29" s="41">
        <f t="shared" si="23"/>
        <v>-1661.149066595789</v>
      </c>
      <c r="Z29" s="41">
        <f t="shared" si="29"/>
        <v>-6984.7669714064095</v>
      </c>
      <c r="AA29" s="9">
        <f>(Constants!Q11*I29*Constants!F11*K29*0.000001)</f>
        <v>263.6287448148654</v>
      </c>
      <c r="AB29" s="9">
        <f>(Constants!Q11*(1-I29)*Constants!G11*K29*0.000001)</f>
        <v>0</v>
      </c>
      <c r="AC29" s="9">
        <f>(Constants!Q11*Constants!R11*J29*Constants!F11*L29*0.000001)</f>
        <v>129.13663636363725</v>
      </c>
      <c r="AD29" s="9">
        <f>(Constants!Q11*Constants!R11*(1-J29)*Constants!G11*L29*0.000001)</f>
        <v>0</v>
      </c>
      <c r="AE29" s="28">
        <f t="shared" si="27"/>
        <v>392.76538117850265</v>
      </c>
      <c r="AF29" s="33">
        <f>Constants!Q11*Constants!H11*(K29+L29)/1000000</f>
        <v>0.1297056329265025</v>
      </c>
      <c r="AG29" s="43">
        <f t="shared" si="30"/>
        <v>0.53918613708725904</v>
      </c>
      <c r="AH29" s="9">
        <f>Constants!Q11/Constants!L11*(BAU!K29*I29)</f>
        <v>531938.54885969614</v>
      </c>
      <c r="AI29" s="9">
        <f>(Constants!Q11*Constants!R11)/Constants!L11*(BAU!L29*J29)</f>
        <v>260566.25577812199</v>
      </c>
      <c r="AJ29" s="9">
        <f>Constants!Q11/Constants!M11*BAU!K29*(1-I29)</f>
        <v>0</v>
      </c>
      <c r="AK29" s="9">
        <f>(Constants!Q11*Constants!R11)/Constants!M11*BAU!L29*(1-J29)</f>
        <v>0</v>
      </c>
      <c r="AL29" s="9">
        <f t="shared" si="28"/>
        <v>792.5048046378181</v>
      </c>
      <c r="AM29" s="28">
        <f>(AL29*Constants!I11*Constants!K11+BAU!AL29*(1-Constants!I11)*Constants!J11)*0.000453592</f>
        <v>226.579870945045</v>
      </c>
      <c r="AN29" s="33">
        <f t="shared" si="24"/>
        <v>166.18551023345765</v>
      </c>
      <c r="AO29" s="48">
        <f t="shared" si="31"/>
        <v>618.43869159201176</v>
      </c>
      <c r="AQ29" s="7"/>
    </row>
    <row r="30" spans="1:50" x14ac:dyDescent="0.25">
      <c r="A30" s="7">
        <v>2029</v>
      </c>
      <c r="B30" s="88">
        <v>0</v>
      </c>
      <c r="C30" s="82">
        <v>0.9</v>
      </c>
      <c r="D30" s="82">
        <v>350</v>
      </c>
      <c r="E30" s="82">
        <v>75</v>
      </c>
      <c r="F30" s="82">
        <v>350</v>
      </c>
      <c r="G30" s="82">
        <v>58</v>
      </c>
      <c r="H30" s="90">
        <v>0.03</v>
      </c>
      <c r="I30" s="90">
        <v>1</v>
      </c>
      <c r="J30" s="90">
        <v>1</v>
      </c>
      <c r="K30" s="92">
        <v>137.54325325574291</v>
      </c>
      <c r="L30" s="96">
        <v>93.996969696969614</v>
      </c>
      <c r="M30" s="18"/>
      <c r="N30" s="7">
        <v>2029</v>
      </c>
      <c r="O30" s="34">
        <f>Constants!O12*Constants!B12-B30</f>
        <v>2315.8359623066681</v>
      </c>
      <c r="P30" s="9">
        <f t="shared" si="18"/>
        <v>4</v>
      </c>
      <c r="Q30" s="9">
        <f t="shared" si="19"/>
        <v>1.05</v>
      </c>
      <c r="R30" s="9">
        <f t="shared" si="20"/>
        <v>1.056</v>
      </c>
      <c r="S30" s="9">
        <f t="shared" si="25"/>
        <v>4</v>
      </c>
      <c r="T30" s="9">
        <f t="shared" si="21"/>
        <v>1.056</v>
      </c>
      <c r="U30" s="41">
        <f t="shared" si="22"/>
        <v>550.17301302297165</v>
      </c>
      <c r="V30" s="41">
        <f t="shared" si="22"/>
        <v>99.260799999999918</v>
      </c>
      <c r="W30" s="41">
        <f>IF(O30&gt;0,IF(BAU!V30/BAU!O30&gt;C30,BAU!O30*C30,BAU!V30),0)</f>
        <v>99.260799999999918</v>
      </c>
      <c r="X30" s="41">
        <f t="shared" si="26"/>
        <v>0</v>
      </c>
      <c r="Y30" s="41">
        <f t="shared" si="23"/>
        <v>-1666.4021492836964</v>
      </c>
      <c r="Z30" s="41">
        <f t="shared" si="29"/>
        <v>-8651.169120690105</v>
      </c>
      <c r="AA30" s="9">
        <f>(Constants!Q12*I30*Constants!F12*K30*0.000001)</f>
        <v>265.73356529009527</v>
      </c>
      <c r="AB30" s="9">
        <f>(Constants!Q12*(1-I30)*Constants!G12*K30*0.000001)</f>
        <v>0</v>
      </c>
      <c r="AC30" s="9">
        <f>(Constants!Q12*Constants!R12*J30*Constants!F12*L30*0.000001)</f>
        <v>136.20160909090896</v>
      </c>
      <c r="AD30" s="9">
        <f>(Constants!Q12*Constants!R12*(1-J30)*Constants!G12*L30*0.000001)</f>
        <v>0</v>
      </c>
      <c r="AE30" s="28">
        <f t="shared" si="27"/>
        <v>401.93517438100423</v>
      </c>
      <c r="AF30" s="33">
        <f>Constants!Q12*Constants!H12*(K30+L30)/1000000</f>
        <v>0.13313562819780972</v>
      </c>
      <c r="AG30" s="43">
        <f t="shared" si="30"/>
        <v>0.67232176528506882</v>
      </c>
      <c r="AH30" s="9">
        <f>Constants!Q12/Constants!L12*(BAU!K30*I30)</f>
        <v>536185.56353933678</v>
      </c>
      <c r="AI30" s="9">
        <f>(Constants!Q12*Constants!R12)/Constants!L12*(BAU!L30*J30)</f>
        <v>274821.6486902925</v>
      </c>
      <c r="AJ30" s="9">
        <f>Constants!Q12/Constants!M12*BAU!K30*(1-I30)</f>
        <v>0</v>
      </c>
      <c r="AK30" s="9">
        <f>(Constants!Q12*Constants!R12)/Constants!M12*BAU!L30*(1-J30)</f>
        <v>0</v>
      </c>
      <c r="AL30" s="9">
        <f t="shared" si="28"/>
        <v>811.00721222962932</v>
      </c>
      <c r="AM30" s="28">
        <f>(AL30*Constants!I12*Constants!K12+BAU!AL30*(1-Constants!I12)*Constants!J12)*0.000453592</f>
        <v>230.54369951808482</v>
      </c>
      <c r="AN30" s="33">
        <f t="shared" si="24"/>
        <v>171.39147486291941</v>
      </c>
      <c r="AO30" s="48">
        <f t="shared" si="31"/>
        <v>789.83016645493115</v>
      </c>
      <c r="AQ30" s="7"/>
    </row>
    <row r="31" spans="1:50" x14ac:dyDescent="0.25">
      <c r="A31" s="7">
        <v>2030</v>
      </c>
      <c r="B31" s="88">
        <v>0</v>
      </c>
      <c r="C31" s="82">
        <v>0.9</v>
      </c>
      <c r="D31" s="82">
        <v>350</v>
      </c>
      <c r="E31" s="82">
        <v>78</v>
      </c>
      <c r="F31" s="82">
        <v>350</v>
      </c>
      <c r="G31" s="82">
        <v>60</v>
      </c>
      <c r="H31" s="90">
        <v>0.03</v>
      </c>
      <c r="I31" s="90">
        <v>1</v>
      </c>
      <c r="J31" s="90">
        <v>1</v>
      </c>
      <c r="K31" s="92">
        <v>138.3271120830882</v>
      </c>
      <c r="L31" s="96">
        <v>98.872727272727943</v>
      </c>
      <c r="M31" s="18"/>
      <c r="N31" s="7">
        <v>2030</v>
      </c>
      <c r="O31" s="34">
        <f>Constants!O13*Constants!B13-B31</f>
        <v>2328.9382874116563</v>
      </c>
      <c r="P31" s="9">
        <f t="shared" si="18"/>
        <v>4</v>
      </c>
      <c r="Q31" s="9">
        <f t="shared" si="19"/>
        <v>1.08</v>
      </c>
      <c r="R31" s="9">
        <f t="shared" si="20"/>
        <v>1.0860000000000001</v>
      </c>
      <c r="S31" s="9">
        <f t="shared" si="25"/>
        <v>4</v>
      </c>
      <c r="T31" s="9">
        <f t="shared" si="21"/>
        <v>1.0860000000000001</v>
      </c>
      <c r="U31" s="41">
        <f t="shared" si="22"/>
        <v>553.30844833235278</v>
      </c>
      <c r="V31" s="41">
        <f t="shared" si="22"/>
        <v>107.37578181818256</v>
      </c>
      <c r="W31" s="41">
        <f>IF(O31&gt;0,IF(BAU!V31/BAU!O31&gt;C31,BAU!O31*C31,BAU!V31),0)</f>
        <v>107.37578181818256</v>
      </c>
      <c r="X31" s="41">
        <f t="shared" si="26"/>
        <v>0</v>
      </c>
      <c r="Y31" s="41">
        <f t="shared" si="23"/>
        <v>-1668.254057261121</v>
      </c>
      <c r="Z31" s="41">
        <f t="shared" si="29"/>
        <v>-10319.423177951227</v>
      </c>
      <c r="AA31" s="9">
        <f>(Constants!Q13*I31*Constants!F13*K31*0.000001)</f>
        <v>267.2479805445264</v>
      </c>
      <c r="AB31" s="9">
        <f>(Constants!Q13*(1-I31)*Constants!G13*K31*0.000001)</f>
        <v>0</v>
      </c>
      <c r="AC31" s="9">
        <f>(Constants!Q13*Constants!R13*J31*Constants!F13*L31*0.000001)</f>
        <v>143.2665818181828</v>
      </c>
      <c r="AD31" s="9">
        <f>(Constants!Q13*Constants!R13*(1-J31)*Constants!G13*L31*0.000001)</f>
        <v>0</v>
      </c>
      <c r="AE31" s="28">
        <f t="shared" si="27"/>
        <v>410.51456236270917</v>
      </c>
      <c r="AF31" s="33">
        <f>Constants!Q13*Constants!H13*(K31+L31)/1000000</f>
        <v>0.1363899076295943</v>
      </c>
      <c r="AG31" s="43">
        <f t="shared" si="30"/>
        <v>0.80871167291466306</v>
      </c>
      <c r="AH31" s="9">
        <f>Constants!Q13/Constants!L13*(BAU!K31*I31)</f>
        <v>539241.28439169971</v>
      </c>
      <c r="AI31" s="9">
        <f>(Constants!Q13*Constants!R13)/Constants!L13*(BAU!L31*J31)</f>
        <v>289077.04160246724</v>
      </c>
      <c r="AJ31" s="9">
        <f>Constants!Q13/Constants!M13*BAU!K31*(1-I31)</f>
        <v>0</v>
      </c>
      <c r="AK31" s="9">
        <f>(Constants!Q13*Constants!R13)/Constants!M13*BAU!L31*(1-J31)</f>
        <v>0</v>
      </c>
      <c r="AL31" s="9">
        <f t="shared" si="28"/>
        <v>828.31832599416703</v>
      </c>
      <c r="AM31" s="28">
        <f>(AL31*Constants!I13*Constants!K13+BAU!AL31*(1-Constants!I13)*Constants!J13)*0.000453592</f>
        <v>229.46577151887709</v>
      </c>
      <c r="AN31" s="33">
        <f t="shared" si="24"/>
        <v>181.04879084383208</v>
      </c>
      <c r="AO31" s="48">
        <f t="shared" si="31"/>
        <v>970.87895729876323</v>
      </c>
      <c r="AQ31" s="7"/>
    </row>
    <row r="32" spans="1:50" x14ac:dyDescent="0.25">
      <c r="A32" s="7">
        <v>2031</v>
      </c>
      <c r="B32" s="88">
        <v>0</v>
      </c>
      <c r="C32" s="82">
        <v>0.9</v>
      </c>
      <c r="D32" s="82">
        <v>350</v>
      </c>
      <c r="E32" s="82">
        <v>80</v>
      </c>
      <c r="F32" s="82">
        <v>350</v>
      </c>
      <c r="G32" s="82">
        <v>63</v>
      </c>
      <c r="H32" s="90">
        <v>0.03</v>
      </c>
      <c r="I32" s="90">
        <v>1</v>
      </c>
      <c r="J32" s="90">
        <v>1</v>
      </c>
      <c r="K32" s="92">
        <v>667.32710365142611</v>
      </c>
      <c r="L32" s="96">
        <v>103.74848484848481</v>
      </c>
      <c r="M32" s="18"/>
      <c r="N32" s="7">
        <v>2031</v>
      </c>
      <c r="O32" s="34">
        <f>Constants!O14*Constants!B14-B32</f>
        <v>2337.1178817986274</v>
      </c>
      <c r="P32" s="9">
        <f t="shared" si="18"/>
        <v>4</v>
      </c>
      <c r="Q32" s="9">
        <f t="shared" si="19"/>
        <v>1.1000000000000001</v>
      </c>
      <c r="R32" s="9">
        <f t="shared" si="20"/>
        <v>1.1060000000000001</v>
      </c>
      <c r="S32" s="9">
        <f t="shared" si="25"/>
        <v>4</v>
      </c>
      <c r="T32" s="9">
        <f t="shared" si="21"/>
        <v>1.1060000000000001</v>
      </c>
      <c r="U32" s="41">
        <f t="shared" si="22"/>
        <v>2669.3084146057045</v>
      </c>
      <c r="V32" s="41">
        <f t="shared" si="22"/>
        <v>114.74582424242421</v>
      </c>
      <c r="W32" s="41">
        <f>IF(O32&gt;0,IF(BAU!V32/BAU!O32&gt;C32,BAU!O32*C32,BAU!V32),0)</f>
        <v>114.74582424242421</v>
      </c>
      <c r="X32" s="41">
        <f t="shared" si="26"/>
        <v>0</v>
      </c>
      <c r="Y32" s="41">
        <f t="shared" si="23"/>
        <v>446.93635704950111</v>
      </c>
      <c r="Z32" s="41">
        <f t="shared" si="29"/>
        <v>-9872.4868209017259</v>
      </c>
      <c r="AA32" s="9">
        <f>(Constants!Q14*I32*Constants!F14*K32*0.000001)</f>
        <v>1289.2759642545552</v>
      </c>
      <c r="AB32" s="9">
        <f>(Constants!Q14*(1-I32)*Constants!G14*K32*0.000001)</f>
        <v>0</v>
      </c>
      <c r="AC32" s="9">
        <f>(Constants!Q14*Constants!R14*J32*Constants!F14*L32*0.000001)</f>
        <v>150.33155454545445</v>
      </c>
      <c r="AD32" s="9">
        <f>(Constants!Q14*Constants!R14*(1-J32)*Constants!G14*L32*0.000001)</f>
        <v>0</v>
      </c>
      <c r="AE32" s="28">
        <f t="shared" si="27"/>
        <v>1439.6075188000098</v>
      </c>
      <c r="AF32" s="33">
        <f>Constants!Q14*Constants!H14*(K32+L32)/1000000</f>
        <v>0.44336846338744879</v>
      </c>
      <c r="AG32" s="43">
        <f t="shared" si="30"/>
        <v>1.2520801363021119</v>
      </c>
      <c r="AH32" s="9">
        <f>Constants!Q14/Constants!L14*(BAU!K32*I32)</f>
        <v>2601444.6413530167</v>
      </c>
      <c r="AI32" s="9">
        <f>(Constants!Q14*Constants!R14)/Constants!L14*(BAU!L32*J32)</f>
        <v>303332.43451463775</v>
      </c>
      <c r="AJ32" s="9">
        <f>Constants!Q14/Constants!M14*BAU!K32*(1-I32)</f>
        <v>0</v>
      </c>
      <c r="AK32" s="9">
        <f>(Constants!Q14*Constants!R14)/Constants!M14*BAU!L32*(1-J32)</f>
        <v>0</v>
      </c>
      <c r="AL32" s="9">
        <f t="shared" si="28"/>
        <v>2904.7770758676543</v>
      </c>
      <c r="AM32" s="28">
        <f>(AL32*Constants!I14*Constants!K14+BAU!AL32*(1-Constants!I14)*Constants!J14)*0.000453592</f>
        <v>794.81449548480668</v>
      </c>
      <c r="AN32" s="33">
        <f t="shared" si="24"/>
        <v>644.79302331520307</v>
      </c>
      <c r="AO32" s="48">
        <f t="shared" si="31"/>
        <v>1615.6719806139663</v>
      </c>
      <c r="AQ32" s="7"/>
    </row>
    <row r="33" spans="1:43" x14ac:dyDescent="0.25">
      <c r="A33" s="7">
        <v>2032</v>
      </c>
      <c r="B33" s="88">
        <v>0</v>
      </c>
      <c r="C33" s="82">
        <v>0.9</v>
      </c>
      <c r="D33" s="82">
        <v>350</v>
      </c>
      <c r="E33" s="82">
        <v>80</v>
      </c>
      <c r="F33" s="82">
        <v>350</v>
      </c>
      <c r="G33" s="82">
        <v>66</v>
      </c>
      <c r="H33" s="90">
        <v>0.03</v>
      </c>
      <c r="I33" s="90">
        <v>1</v>
      </c>
      <c r="J33" s="90">
        <v>1</v>
      </c>
      <c r="K33" s="92">
        <v>672.91011824796897</v>
      </c>
      <c r="L33" s="96">
        <v>108.62424242424314</v>
      </c>
      <c r="M33" s="18"/>
      <c r="N33" s="7">
        <v>2032</v>
      </c>
      <c r="O33" s="34">
        <f>Constants!O15*Constants!B15-B33</f>
        <v>2356.6777814196457</v>
      </c>
      <c r="P33" s="9">
        <f t="shared" si="18"/>
        <v>4</v>
      </c>
      <c r="Q33" s="9">
        <f t="shared" si="19"/>
        <v>1.1000000000000001</v>
      </c>
      <c r="R33" s="9">
        <f t="shared" si="20"/>
        <v>1.1060000000000001</v>
      </c>
      <c r="S33" s="9">
        <f t="shared" si="25"/>
        <v>4</v>
      </c>
      <c r="T33" s="9">
        <f t="shared" si="21"/>
        <v>1.1060000000000001</v>
      </c>
      <c r="U33" s="41">
        <f t="shared" si="22"/>
        <v>2691.6404729918759</v>
      </c>
      <c r="V33" s="41">
        <f t="shared" si="22"/>
        <v>120.13841212121292</v>
      </c>
      <c r="W33" s="41">
        <f>IF(O33&gt;0,IF(BAU!V33/BAU!O33&gt;C33,BAU!O33*C33,BAU!V33),0)</f>
        <v>120.13841212121292</v>
      </c>
      <c r="X33" s="41">
        <f t="shared" si="26"/>
        <v>0</v>
      </c>
      <c r="Y33" s="41">
        <f t="shared" si="23"/>
        <v>455.10110369344329</v>
      </c>
      <c r="Z33" s="41">
        <f t="shared" si="29"/>
        <v>-9417.3857172082826</v>
      </c>
      <c r="AA33" s="9">
        <f>(Constants!Q15*I33*Constants!F15*K33*0.000001)</f>
        <v>1300.0623484550758</v>
      </c>
      <c r="AB33" s="9">
        <f>(Constants!Q15*(1-I33)*Constants!G15*K33*0.000001)</f>
        <v>0</v>
      </c>
      <c r="AC33" s="9">
        <f>(Constants!Q15*Constants!R15*J33*Constants!F15*L33*0.000001)</f>
        <v>157.39652727272829</v>
      </c>
      <c r="AD33" s="9">
        <f>(Constants!Q15*Constants!R15*(1-J33)*Constants!G15*L33*0.000001)</f>
        <v>0</v>
      </c>
      <c r="AE33" s="28">
        <f t="shared" si="27"/>
        <v>1457.4588757278041</v>
      </c>
      <c r="AF33" s="33">
        <f>Constants!Q15*Constants!H15*(K33+L33)/1000000</f>
        <v>0.44938225738652193</v>
      </c>
      <c r="AG33" s="43">
        <f t="shared" si="30"/>
        <v>1.7014623936886339</v>
      </c>
      <c r="AH33" s="9">
        <f>Constants!Q15/Constants!L15*(BAU!K33*I33)</f>
        <v>2623208.9355429299</v>
      </c>
      <c r="AI33" s="9">
        <f>(Constants!Q15*Constants!R15)/Constants!L15*(BAU!L33*J33)</f>
        <v>317587.8274268125</v>
      </c>
      <c r="AJ33" s="9">
        <f>Constants!Q15/Constants!M15*BAU!K33*(1-I33)</f>
        <v>0</v>
      </c>
      <c r="AK33" s="9">
        <f>(Constants!Q15*Constants!R15)/Constants!M15*BAU!L33*(1-J33)</f>
        <v>0</v>
      </c>
      <c r="AL33" s="9">
        <f t="shared" si="28"/>
        <v>2940.7967629697428</v>
      </c>
      <c r="AM33" s="28">
        <f>(AL33*Constants!I15*Constants!K15+BAU!AL33*(1-Constants!I15)*Constants!J15)*0.000453592</f>
        <v>722.80304216668014</v>
      </c>
      <c r="AN33" s="33">
        <f t="shared" si="24"/>
        <v>734.65583356112393</v>
      </c>
      <c r="AO33" s="48">
        <f t="shared" si="31"/>
        <v>2350.3278141750902</v>
      </c>
      <c r="AQ33" s="7"/>
    </row>
    <row r="34" spans="1:43" x14ac:dyDescent="0.25">
      <c r="A34" s="7">
        <v>2033</v>
      </c>
      <c r="B34" s="88">
        <v>0</v>
      </c>
      <c r="C34" s="82">
        <v>0.9</v>
      </c>
      <c r="D34" s="82">
        <v>350</v>
      </c>
      <c r="E34" s="82">
        <v>80</v>
      </c>
      <c r="F34" s="82">
        <v>350</v>
      </c>
      <c r="G34" s="82">
        <v>69</v>
      </c>
      <c r="H34" s="90">
        <v>0.03</v>
      </c>
      <c r="I34" s="90">
        <v>1</v>
      </c>
      <c r="J34" s="90">
        <v>1</v>
      </c>
      <c r="K34" s="92">
        <v>675.15101088671736</v>
      </c>
      <c r="L34" s="96">
        <v>113.5</v>
      </c>
      <c r="M34" s="18"/>
      <c r="N34" s="7">
        <v>2033</v>
      </c>
      <c r="O34" s="34">
        <f>Constants!O16*Constants!B16-B34</f>
        <v>2364.3894356242959</v>
      </c>
      <c r="P34" s="9">
        <f t="shared" si="18"/>
        <v>4</v>
      </c>
      <c r="Q34" s="9">
        <f t="shared" si="19"/>
        <v>1.1000000000000001</v>
      </c>
      <c r="R34" s="9">
        <f t="shared" si="20"/>
        <v>1.1060000000000001</v>
      </c>
      <c r="S34" s="9">
        <f t="shared" si="25"/>
        <v>4</v>
      </c>
      <c r="T34" s="9">
        <f t="shared" si="21"/>
        <v>1.1060000000000001</v>
      </c>
      <c r="U34" s="41">
        <f t="shared" si="22"/>
        <v>2700.6040435468694</v>
      </c>
      <c r="V34" s="41">
        <f t="shared" si="22"/>
        <v>125.53100000000001</v>
      </c>
      <c r="W34" s="41">
        <f>IF(O34&gt;0,IF(BAU!V34/BAU!O34&gt;C34,BAU!O34*C34,BAU!V34),0)</f>
        <v>125.53100000000001</v>
      </c>
      <c r="X34" s="41">
        <f t="shared" si="26"/>
        <v>0</v>
      </c>
      <c r="Y34" s="41">
        <f t="shared" si="23"/>
        <v>461.74560792257353</v>
      </c>
      <c r="Z34" s="41">
        <f t="shared" si="29"/>
        <v>-8955.6401092857086</v>
      </c>
      <c r="AA34" s="9">
        <f>(Constants!Q16*I34*Constants!F16*K34*0.000001)</f>
        <v>1304.391753033138</v>
      </c>
      <c r="AB34" s="9">
        <f>(Constants!Q16*(1-I34)*Constants!G16*K34*0.000001)</f>
        <v>0</v>
      </c>
      <c r="AC34" s="9">
        <f>(Constants!Q16*Constants!R16*J34*Constants!F16*L34*0.000001)</f>
        <v>164.4615</v>
      </c>
      <c r="AD34" s="9">
        <f>(Constants!Q16*Constants!R16*(1-J34)*Constants!G16*L34*0.000001)</f>
        <v>0</v>
      </c>
      <c r="AE34" s="28">
        <f t="shared" si="27"/>
        <v>1468.8532530331381</v>
      </c>
      <c r="AF34" s="33">
        <f>Constants!Q16*Constants!H16*(K34+L34)/1000000</f>
        <v>0.45347433125986247</v>
      </c>
      <c r="AG34" s="43">
        <f t="shared" si="30"/>
        <v>2.1549367249484965</v>
      </c>
      <c r="AH34" s="9">
        <f>Constants!Q16/Constants!L16*(BAU!K34*I34)</f>
        <v>2631944.6187109319</v>
      </c>
      <c r="AI34" s="9">
        <f>(Constants!Q16*Constants!R16)/Constants!L16*(BAU!L34*J34)</f>
        <v>331843.220338983</v>
      </c>
      <c r="AJ34" s="9">
        <f>Constants!Q16/Constants!M16*BAU!K34*(1-I34)</f>
        <v>0</v>
      </c>
      <c r="AK34" s="9">
        <f>(Constants!Q16*Constants!R16)/Constants!M16*BAU!L34*(1-J34)</f>
        <v>0</v>
      </c>
      <c r="AL34" s="9">
        <f t="shared" si="28"/>
        <v>2963.787839049915</v>
      </c>
      <c r="AM34" s="28">
        <f>(AL34*Constants!I16*Constants!K16+BAU!AL34*(1-Constants!I16)*Constants!J16)*0.000453592</f>
        <v>762.04349067711678</v>
      </c>
      <c r="AN34" s="33">
        <f t="shared" si="24"/>
        <v>706.80976235602134</v>
      </c>
      <c r="AO34" s="48">
        <f t="shared" si="31"/>
        <v>3057.1375765311113</v>
      </c>
      <c r="AQ34" s="7"/>
    </row>
    <row r="35" spans="1:43" x14ac:dyDescent="0.25">
      <c r="A35" s="7">
        <v>2034</v>
      </c>
      <c r="B35" s="88">
        <v>0</v>
      </c>
      <c r="C35" s="82">
        <v>0.9</v>
      </c>
      <c r="D35" s="82">
        <v>350</v>
      </c>
      <c r="E35" s="82">
        <v>80</v>
      </c>
      <c r="F35" s="82">
        <v>350</v>
      </c>
      <c r="G35" s="82">
        <v>71</v>
      </c>
      <c r="H35" s="90">
        <v>0.03</v>
      </c>
      <c r="I35" s="90">
        <v>1</v>
      </c>
      <c r="J35" s="90">
        <v>1</v>
      </c>
      <c r="K35" s="92">
        <v>679.90264822951167</v>
      </c>
      <c r="L35" s="96">
        <v>118.37575757575833</v>
      </c>
      <c r="M35" s="18"/>
      <c r="N35" s="7">
        <v>2034</v>
      </c>
      <c r="O35" s="34">
        <f>Constants!O17*Constants!B17-B35</f>
        <v>2381.010670900338</v>
      </c>
      <c r="P35" s="9">
        <f t="shared" si="18"/>
        <v>4</v>
      </c>
      <c r="Q35" s="9">
        <f t="shared" si="19"/>
        <v>1.1000000000000001</v>
      </c>
      <c r="R35" s="9">
        <f t="shared" si="20"/>
        <v>1.1060000000000001</v>
      </c>
      <c r="S35" s="9">
        <f t="shared" si="25"/>
        <v>4</v>
      </c>
      <c r="T35" s="9">
        <f t="shared" si="21"/>
        <v>1.1060000000000001</v>
      </c>
      <c r="U35" s="41">
        <f t="shared" si="22"/>
        <v>2719.6105929180467</v>
      </c>
      <c r="V35" s="41">
        <f t="shared" si="22"/>
        <v>130.92358787878871</v>
      </c>
      <c r="W35" s="41">
        <f>IF(O35&gt;0,IF(BAU!V35/BAU!O35&gt;C35,BAU!O35*C35,BAU!V35),0)</f>
        <v>130.92358787878871</v>
      </c>
      <c r="X35" s="41">
        <f t="shared" si="26"/>
        <v>0</v>
      </c>
      <c r="Y35" s="41">
        <f t="shared" si="23"/>
        <v>469.52350989649722</v>
      </c>
      <c r="Z35" s="41">
        <f t="shared" si="29"/>
        <v>-8486.1165993892118</v>
      </c>
      <c r="AA35" s="9">
        <f>(Constants!Q17*I35*Constants!F17*K35*0.000001)</f>
        <v>1313.5719163794165</v>
      </c>
      <c r="AB35" s="9">
        <f>(Constants!Q17*(1-I35)*Constants!G17*K35*0.000001)</f>
        <v>0</v>
      </c>
      <c r="AC35" s="9">
        <f>(Constants!Q17*Constants!R17*J35*Constants!F17*L35*0.000001)</f>
        <v>171.52647272727381</v>
      </c>
      <c r="AD35" s="9">
        <f>(Constants!Q17*Constants!R17*(1-J35)*Constants!G17*L35*0.000001)</f>
        <v>0</v>
      </c>
      <c r="AE35" s="28">
        <f t="shared" si="27"/>
        <v>1485.0983891066903</v>
      </c>
      <c r="AF35" s="33">
        <f>Constants!Q17*Constants!H17*(K35+L35)/1000000</f>
        <v>0.45901008333803028</v>
      </c>
      <c r="AG35" s="43">
        <f t="shared" si="30"/>
        <v>2.6139468082865269</v>
      </c>
      <c r="AH35" s="9">
        <f>Constants!Q17/Constants!L17*(BAU!K35*I35)</f>
        <v>2650467.950725215</v>
      </c>
      <c r="AI35" s="9">
        <f>(Constants!Q17*Constants!R17)/Constants!L17*(BAU!L35*J35)</f>
        <v>346098.6132511578</v>
      </c>
      <c r="AJ35" s="9">
        <f>Constants!Q17/Constants!M17*BAU!K35*(1-I35)</f>
        <v>0</v>
      </c>
      <c r="AK35" s="9">
        <f>(Constants!Q17*Constants!R17)/Constants!M17*BAU!L35*(1-J35)</f>
        <v>0</v>
      </c>
      <c r="AL35" s="9">
        <f t="shared" si="28"/>
        <v>2996.5665639763724</v>
      </c>
      <c r="AM35" s="28">
        <f>(AL35*Constants!I17*Constants!K17+BAU!AL35*(1-Constants!I17)*Constants!J17)*0.000453592</f>
        <v>768.15053534176729</v>
      </c>
      <c r="AN35" s="33">
        <f t="shared" si="24"/>
        <v>716.94785376492302</v>
      </c>
      <c r="AO35" s="48">
        <f t="shared" si="31"/>
        <v>3774.0854302960342</v>
      </c>
      <c r="AQ35" s="7"/>
    </row>
    <row r="36" spans="1:43" ht="15.75" thickBot="1" x14ac:dyDescent="0.3">
      <c r="A36" s="7">
        <v>2035</v>
      </c>
      <c r="B36" s="89">
        <v>0</v>
      </c>
      <c r="C36" s="85">
        <v>0.9</v>
      </c>
      <c r="D36" s="85">
        <v>350</v>
      </c>
      <c r="E36" s="85">
        <v>80</v>
      </c>
      <c r="F36" s="85">
        <v>350</v>
      </c>
      <c r="G36" s="85">
        <v>74</v>
      </c>
      <c r="H36" s="91">
        <v>0.03</v>
      </c>
      <c r="I36" s="91">
        <v>1</v>
      </c>
      <c r="J36" s="91">
        <v>1</v>
      </c>
      <c r="K36" s="94">
        <v>684.77002886237005</v>
      </c>
      <c r="L36" s="97">
        <v>123.25151515151521</v>
      </c>
      <c r="M36" s="18"/>
      <c r="N36" s="7">
        <v>2035</v>
      </c>
      <c r="O36" s="35">
        <f>Constants!O18*Constants!B18-B36</f>
        <v>2398.1372815732871</v>
      </c>
      <c r="P36" s="16">
        <f t="shared" si="18"/>
        <v>4</v>
      </c>
      <c r="Q36" s="16">
        <f t="shared" si="19"/>
        <v>1.1000000000000001</v>
      </c>
      <c r="R36" s="16">
        <f t="shared" si="20"/>
        <v>1.1060000000000001</v>
      </c>
      <c r="S36" s="27">
        <f t="shared" si="25"/>
        <v>4</v>
      </c>
      <c r="T36" s="16">
        <f t="shared" si="21"/>
        <v>1.1060000000000001</v>
      </c>
      <c r="U36" s="50">
        <f t="shared" si="22"/>
        <v>2739.0801154494802</v>
      </c>
      <c r="V36" s="50">
        <f t="shared" si="22"/>
        <v>136.31617575757582</v>
      </c>
      <c r="W36" s="50">
        <f>IF(O36&gt;0,IF(BAU!V36/BAU!O36&gt;C36,BAU!O36*C36,BAU!V36),0)</f>
        <v>136.31617575757582</v>
      </c>
      <c r="X36" s="50">
        <f t="shared" si="26"/>
        <v>0</v>
      </c>
      <c r="Y36" s="50">
        <f t="shared" si="23"/>
        <v>477.25900963376898</v>
      </c>
      <c r="Z36" s="50">
        <f t="shared" si="29"/>
        <v>-8008.8575897554429</v>
      </c>
      <c r="AA36" s="27">
        <f>(Constants!Q18*I36*Constants!F18*K36*0.000001)</f>
        <v>1322.9756957620989</v>
      </c>
      <c r="AB36" s="27">
        <f>(Constants!Q18*(1-I36)*Constants!G18*K36*0.000001)</f>
        <v>0</v>
      </c>
      <c r="AC36" s="27">
        <f>(Constants!Q18*Constants!R18*J36*Constants!F18*L36*0.000001)</f>
        <v>178.59144545454552</v>
      </c>
      <c r="AD36" s="27">
        <f>(Constants!Q18*Constants!R18*(1-J36)*Constants!G18*L36*0.000001)</f>
        <v>0</v>
      </c>
      <c r="AE36" s="47">
        <f t="shared" si="27"/>
        <v>1501.5671412166444</v>
      </c>
      <c r="AF36" s="36">
        <f>Constants!Q18*Constants!H18*(K36+L36)/1000000</f>
        <v>0.46461238780798403</v>
      </c>
      <c r="AG36" s="49">
        <f t="shared" si="30"/>
        <v>3.0785591960945111</v>
      </c>
      <c r="AH36" s="27">
        <f>Constants!Q18/Constants!L18*(BAU!K36*I36)</f>
        <v>2669442.4853956797</v>
      </c>
      <c r="AI36" s="27">
        <f>(Constants!Q18*Constants!R18)/Constants!L18*(BAU!L36*J36)</f>
        <v>360354.0061633283</v>
      </c>
      <c r="AJ36" s="27">
        <f>Constants!Q18/Constants!M18*BAU!K36*(1-I36)</f>
        <v>0</v>
      </c>
      <c r="AK36" s="27">
        <f>(Constants!Q18*Constants!R18)/Constants!M18*BAU!L36*(1-J36)</f>
        <v>0</v>
      </c>
      <c r="AL36" s="27">
        <f t="shared" si="28"/>
        <v>3029.7964915590082</v>
      </c>
      <c r="AM36" s="47">
        <f>(AL36*Constants!I18*Constants!K18+BAU!AL36*(1-Constants!I18)*Constants!J18)*0.000453592</f>
        <v>775.91608071888265</v>
      </c>
      <c r="AN36" s="36">
        <f t="shared" si="24"/>
        <v>725.6510604977617</v>
      </c>
      <c r="AO36" s="51">
        <f t="shared" si="31"/>
        <v>4499.7364907937963</v>
      </c>
      <c r="AQ36" s="7"/>
    </row>
    <row r="38" spans="1:43" ht="15.75" thickBot="1" x14ac:dyDescent="0.3">
      <c r="B38" s="28" t="s">
        <v>209</v>
      </c>
      <c r="C38" s="9"/>
      <c r="D38" s="9"/>
      <c r="E38" s="9"/>
      <c r="F38" s="9"/>
      <c r="G38" s="9"/>
      <c r="H38" s="9"/>
      <c r="I38" s="9"/>
      <c r="J38" s="9"/>
      <c r="K38" s="9"/>
      <c r="L38" s="9"/>
      <c r="X38" s="22"/>
    </row>
    <row r="39" spans="1:43" ht="105" x14ac:dyDescent="0.25">
      <c r="B39" s="29" t="s">
        <v>157</v>
      </c>
      <c r="C39" s="30" t="s">
        <v>158</v>
      </c>
      <c r="D39" s="30" t="s">
        <v>159</v>
      </c>
      <c r="E39" s="30" t="s">
        <v>160</v>
      </c>
      <c r="F39" s="30" t="s">
        <v>161</v>
      </c>
      <c r="G39" s="30" t="s">
        <v>162</v>
      </c>
      <c r="H39" s="30" t="s">
        <v>163</v>
      </c>
      <c r="I39" s="30" t="s">
        <v>164</v>
      </c>
      <c r="J39" s="30" t="s">
        <v>165</v>
      </c>
      <c r="K39" s="30" t="s">
        <v>210</v>
      </c>
      <c r="L39" s="31" t="s">
        <v>211</v>
      </c>
      <c r="M39" s="2"/>
      <c r="O39" s="45" t="s">
        <v>166</v>
      </c>
      <c r="P39" s="46" t="s">
        <v>167</v>
      </c>
      <c r="Q39" s="46" t="s">
        <v>168</v>
      </c>
      <c r="R39" s="46" t="s">
        <v>169</v>
      </c>
      <c r="S39" s="46" t="s">
        <v>170</v>
      </c>
      <c r="T39" s="46" t="s">
        <v>171</v>
      </c>
      <c r="U39" s="23" t="s">
        <v>212</v>
      </c>
      <c r="V39" s="23" t="s">
        <v>213</v>
      </c>
      <c r="W39" s="23" t="s">
        <v>214</v>
      </c>
      <c r="X39" s="23" t="s">
        <v>224</v>
      </c>
      <c r="Y39" s="23" t="s">
        <v>225</v>
      </c>
      <c r="Z39" s="23" t="s">
        <v>217</v>
      </c>
      <c r="AA39" s="23" t="s">
        <v>175</v>
      </c>
      <c r="AB39" s="23" t="s">
        <v>176</v>
      </c>
      <c r="AC39" s="23" t="s">
        <v>177</v>
      </c>
      <c r="AD39" s="23" t="s">
        <v>178</v>
      </c>
      <c r="AE39" s="23" t="s">
        <v>179</v>
      </c>
      <c r="AF39" s="23" t="s">
        <v>180</v>
      </c>
      <c r="AG39" s="23" t="s">
        <v>235</v>
      </c>
      <c r="AH39" s="23" t="s">
        <v>181</v>
      </c>
      <c r="AI39" s="23" t="s">
        <v>236</v>
      </c>
      <c r="AJ39" s="23" t="s">
        <v>182</v>
      </c>
      <c r="AK39" s="23" t="s">
        <v>237</v>
      </c>
      <c r="AL39" s="23" t="s">
        <v>183</v>
      </c>
      <c r="AM39" s="23" t="s">
        <v>184</v>
      </c>
      <c r="AN39" s="23" t="s">
        <v>185</v>
      </c>
      <c r="AO39" s="24" t="s">
        <v>186</v>
      </c>
      <c r="AP39" s="2"/>
      <c r="AQ39" s="7"/>
    </row>
    <row r="40" spans="1:43" ht="30" x14ac:dyDescent="0.25">
      <c r="B40" s="13" t="s">
        <v>45</v>
      </c>
      <c r="C40" s="3" t="s">
        <v>47</v>
      </c>
      <c r="D40" s="3" t="s">
        <v>188</v>
      </c>
      <c r="E40" s="3" t="s">
        <v>51</v>
      </c>
      <c r="F40" s="3" t="s">
        <v>53</v>
      </c>
      <c r="G40" s="3" t="s">
        <v>55</v>
      </c>
      <c r="H40" s="3" t="s">
        <v>57</v>
      </c>
      <c r="I40" s="3" t="s">
        <v>59</v>
      </c>
      <c r="J40" s="3" t="s">
        <v>61</v>
      </c>
      <c r="K40" s="12" t="s">
        <v>63</v>
      </c>
      <c r="L40" s="32" t="s">
        <v>65</v>
      </c>
      <c r="M40" s="2"/>
      <c r="O40" s="19" t="s">
        <v>189</v>
      </c>
      <c r="P40" s="12" t="s">
        <v>69</v>
      </c>
      <c r="Q40" s="12" t="s">
        <v>71</v>
      </c>
      <c r="R40" s="12" t="s">
        <v>73</v>
      </c>
      <c r="S40" s="12" t="s">
        <v>190</v>
      </c>
      <c r="T40" s="12" t="s">
        <v>191</v>
      </c>
      <c r="U40" s="12" t="s">
        <v>114</v>
      </c>
      <c r="V40" s="12" t="s">
        <v>116</v>
      </c>
      <c r="W40" s="12" t="s">
        <v>117</v>
      </c>
      <c r="X40" s="12" t="s">
        <v>120</v>
      </c>
      <c r="Y40" s="12" t="s">
        <v>119</v>
      </c>
      <c r="Z40" s="12" t="s">
        <v>121</v>
      </c>
      <c r="AA40" s="12" t="s">
        <v>85</v>
      </c>
      <c r="AB40" s="12" t="s">
        <v>87</v>
      </c>
      <c r="AC40" s="12" t="s">
        <v>89</v>
      </c>
      <c r="AD40" s="12" t="s">
        <v>91</v>
      </c>
      <c r="AE40" s="12" t="s">
        <v>93</v>
      </c>
      <c r="AF40" s="12" t="s">
        <v>192</v>
      </c>
      <c r="AG40" s="12" t="s">
        <v>96</v>
      </c>
      <c r="AH40" s="12" t="s">
        <v>98</v>
      </c>
      <c r="AI40" s="12" t="s">
        <v>100</v>
      </c>
      <c r="AJ40" s="12" t="s">
        <v>102</v>
      </c>
      <c r="AK40" s="12" t="s">
        <v>104</v>
      </c>
      <c r="AL40" s="12" t="s">
        <v>106</v>
      </c>
      <c r="AM40" s="12" t="s">
        <v>108</v>
      </c>
      <c r="AN40" s="12" t="s">
        <v>110</v>
      </c>
      <c r="AO40" s="32" t="s">
        <v>112</v>
      </c>
      <c r="AP40" s="2"/>
      <c r="AQ40" s="7"/>
    </row>
    <row r="41" spans="1:43" ht="24.75" x14ac:dyDescent="0.25">
      <c r="B41" s="20" t="s">
        <v>193</v>
      </c>
      <c r="C41" s="17" t="s">
        <v>148</v>
      </c>
      <c r="D41" s="17" t="s">
        <v>194</v>
      </c>
      <c r="E41" s="17" t="s">
        <v>195</v>
      </c>
      <c r="F41" s="17" t="s">
        <v>196</v>
      </c>
      <c r="G41" s="17" t="s">
        <v>197</v>
      </c>
      <c r="H41" s="17" t="s">
        <v>148</v>
      </c>
      <c r="I41" s="17" t="s">
        <v>148</v>
      </c>
      <c r="J41" s="17" t="s">
        <v>148</v>
      </c>
      <c r="K41" s="17" t="s">
        <v>223</v>
      </c>
      <c r="L41" s="21" t="s">
        <v>223</v>
      </c>
      <c r="M41" s="17"/>
      <c r="O41" s="20" t="s">
        <v>193</v>
      </c>
      <c r="P41" s="10" t="s">
        <v>198</v>
      </c>
      <c r="Q41" s="10" t="s">
        <v>198</v>
      </c>
      <c r="R41" s="10" t="s">
        <v>198</v>
      </c>
      <c r="S41" s="10" t="s">
        <v>193</v>
      </c>
      <c r="T41" s="10" t="s">
        <v>193</v>
      </c>
      <c r="U41" s="10" t="s">
        <v>193</v>
      </c>
      <c r="V41" s="10" t="s">
        <v>193</v>
      </c>
      <c r="W41" s="10" t="s">
        <v>193</v>
      </c>
      <c r="X41" s="10" t="s">
        <v>193</v>
      </c>
      <c r="Y41" s="10" t="s">
        <v>193</v>
      </c>
      <c r="Z41" s="10" t="s">
        <v>193</v>
      </c>
      <c r="AA41" s="10" t="s">
        <v>201</v>
      </c>
      <c r="AB41" s="10" t="s">
        <v>201</v>
      </c>
      <c r="AC41" s="10" t="s">
        <v>201</v>
      </c>
      <c r="AD41" s="10" t="s">
        <v>201</v>
      </c>
      <c r="AE41" s="10" t="s">
        <v>201</v>
      </c>
      <c r="AF41" s="10" t="s">
        <v>202</v>
      </c>
      <c r="AG41" s="10" t="s">
        <v>202</v>
      </c>
      <c r="AH41" s="10" t="s">
        <v>203</v>
      </c>
      <c r="AI41" s="10" t="s">
        <v>203</v>
      </c>
      <c r="AJ41" s="10" t="s">
        <v>203</v>
      </c>
      <c r="AK41" s="10" t="s">
        <v>203</v>
      </c>
      <c r="AL41" s="10" t="s">
        <v>204</v>
      </c>
      <c r="AM41" s="10" t="s">
        <v>205</v>
      </c>
      <c r="AN41" s="10" t="s">
        <v>205</v>
      </c>
      <c r="AO41" s="25" t="s">
        <v>206</v>
      </c>
      <c r="AP41" s="10"/>
      <c r="AQ41" s="7"/>
    </row>
    <row r="42" spans="1:43" x14ac:dyDescent="0.25">
      <c r="A42" s="7">
        <v>2023</v>
      </c>
      <c r="B42" s="88">
        <v>0</v>
      </c>
      <c r="C42" s="82">
        <v>0</v>
      </c>
      <c r="D42" s="82">
        <v>350</v>
      </c>
      <c r="E42" s="82">
        <v>53</v>
      </c>
      <c r="F42" s="82">
        <v>350</v>
      </c>
      <c r="G42" s="82">
        <v>41</v>
      </c>
      <c r="H42" s="90">
        <v>0.03</v>
      </c>
      <c r="I42" s="90">
        <v>1</v>
      </c>
      <c r="J42" s="90">
        <v>1</v>
      </c>
      <c r="K42" s="92">
        <v>3080.8288909688245</v>
      </c>
      <c r="L42" s="93">
        <v>0</v>
      </c>
      <c r="M42" s="18"/>
      <c r="N42" s="7">
        <v>2023</v>
      </c>
      <c r="O42" s="34">
        <f>Constants!P6*Constants!B6-B42</f>
        <v>0</v>
      </c>
      <c r="P42" s="9">
        <f t="shared" ref="P42:P54" si="32">(D42*0.01+0.5)*I42+(F42*0.01+0.5)*(1-I42)</f>
        <v>4</v>
      </c>
      <c r="Q42" s="9">
        <f t="shared" ref="Q42:Q54" si="33">(E42*0.01+0.3)*J42+(G42*0.01+0.3)*(1-J42)</f>
        <v>0.83000000000000007</v>
      </c>
      <c r="R42" s="9">
        <f t="shared" ref="R42:R54" si="34">Q42+0.2*H42</f>
        <v>0.83600000000000008</v>
      </c>
      <c r="S42" s="9">
        <f>IF(P42&gt;4,4,P42)</f>
        <v>4</v>
      </c>
      <c r="T42" s="9">
        <f t="shared" ref="T42:T54" si="35">IF(H42=0,IF(R42&gt;1.1,1.1,R42),IF(R42&gt;1.3,1.3,R42))</f>
        <v>0.83600000000000008</v>
      </c>
      <c r="U42" s="41">
        <f t="shared" ref="U42:V54" si="36">S42*K42</f>
        <v>12323.315563875298</v>
      </c>
      <c r="V42" s="41">
        <f t="shared" si="36"/>
        <v>0</v>
      </c>
      <c r="W42" s="41">
        <f>IF(O42&gt;0,IF(BAU!V42/BAU!O42&gt;C42,BAU!O42*C42,BAU!V42),0)</f>
        <v>0</v>
      </c>
      <c r="X42" s="41">
        <f>V42-W42</f>
        <v>0</v>
      </c>
      <c r="Y42" s="41">
        <f t="shared" ref="Y42:Y54" si="37">U42-(O42-W42)</f>
        <v>12323.315563875298</v>
      </c>
      <c r="Z42" s="41">
        <f>X42+Y42</f>
        <v>12323.315563875298</v>
      </c>
      <c r="AA42" s="9">
        <f>(Constants!Q6*I42*Constants!F6*K42*0.000001)</f>
        <v>6271.0272075670418</v>
      </c>
      <c r="AB42" s="9">
        <f>(Constants!Q6*(1-I42)*Constants!G6*K42*0.000001)</f>
        <v>0</v>
      </c>
      <c r="AC42" s="9">
        <f>(Constants!Q6*Constants!R6*J42*Constants!F6*L42*0.000001)</f>
        <v>0</v>
      </c>
      <c r="AD42" s="9">
        <f>(Constants!Q6*Constants!R6*(1-J42)*Constants!G6*L42*0.000001)</f>
        <v>0</v>
      </c>
      <c r="AE42" s="28">
        <f>AA42+AB42+AC42+AD42</f>
        <v>6271.0272075670418</v>
      </c>
      <c r="AF42" s="33">
        <f>Constants!Q6*Constants!H6*(K42+L42)/1000000</f>
        <v>2.2320605315069133</v>
      </c>
      <c r="AG42" s="43">
        <f>AF42</f>
        <v>2.2320605315069133</v>
      </c>
      <c r="AH42" s="9">
        <f>Constants!Q6/Constants!L6*(BAU!K42*I42)</f>
        <v>12010010.930895416</v>
      </c>
      <c r="AI42" s="9">
        <f>(Constants!Q6*Constants!R6)/Constants!L6*(BAU!L42*J42)</f>
        <v>0</v>
      </c>
      <c r="AJ42" s="9">
        <f>Constants!Q6/Constants!M6*BAU!K42*(1-I42)</f>
        <v>0</v>
      </c>
      <c r="AK42" s="9">
        <f>(Constants!Q6*Constants!R6)/Constants!M6*BAU!L42*(1-J42)</f>
        <v>0</v>
      </c>
      <c r="AL42" s="9">
        <f>(AH42+AI42+AJ42+AK42)*0.001</f>
        <v>12010.010930895416</v>
      </c>
      <c r="AM42" s="28">
        <f>(AL42*Constants!I6*Constants!K6+BAU!AL42*(1-Constants!I6)*Constants!J6)*0.000453592</f>
        <v>3873.0873816136864</v>
      </c>
      <c r="AN42" s="33">
        <f t="shared" ref="AN42:AN54" si="38">AE42-AM42</f>
        <v>2397.9398259533555</v>
      </c>
      <c r="AO42" s="48">
        <f>AN42</f>
        <v>2397.9398259533555</v>
      </c>
      <c r="AQ42" s="7"/>
    </row>
    <row r="43" spans="1:43" x14ac:dyDescent="0.25">
      <c r="A43" s="7">
        <v>2024</v>
      </c>
      <c r="B43" s="88">
        <v>0</v>
      </c>
      <c r="C43" s="82">
        <v>0</v>
      </c>
      <c r="D43" s="82">
        <v>350</v>
      </c>
      <c r="E43" s="82">
        <v>57</v>
      </c>
      <c r="F43" s="82">
        <v>350</v>
      </c>
      <c r="G43" s="82">
        <v>44</v>
      </c>
      <c r="H43" s="90">
        <v>0.03</v>
      </c>
      <c r="I43" s="90">
        <v>1</v>
      </c>
      <c r="J43" s="90">
        <v>1</v>
      </c>
      <c r="K43" s="92">
        <v>3105.1236270515892</v>
      </c>
      <c r="L43" s="93">
        <v>0</v>
      </c>
      <c r="M43" s="18"/>
      <c r="N43" s="7">
        <v>2024</v>
      </c>
      <c r="O43" s="34">
        <f>Constants!P7*Constants!B7-B43</f>
        <v>0</v>
      </c>
      <c r="P43" s="9">
        <f t="shared" si="32"/>
        <v>4</v>
      </c>
      <c r="Q43" s="9">
        <f t="shared" si="33"/>
        <v>0.87000000000000011</v>
      </c>
      <c r="R43" s="9">
        <f t="shared" si="34"/>
        <v>0.87600000000000011</v>
      </c>
      <c r="S43" s="9">
        <f t="shared" ref="S43:S54" si="39">IF(P43&gt;4,4,P43)</f>
        <v>4</v>
      </c>
      <c r="T43" s="9">
        <f t="shared" si="35"/>
        <v>0.87600000000000011</v>
      </c>
      <c r="U43" s="41">
        <f t="shared" si="36"/>
        <v>12420.494508206357</v>
      </c>
      <c r="V43" s="41">
        <f t="shared" si="36"/>
        <v>0</v>
      </c>
      <c r="W43" s="41">
        <f>IF(O43&gt;0,IF(BAU!V43/BAU!O43&gt;C43,BAU!O43*C43,BAU!V43),0)</f>
        <v>0</v>
      </c>
      <c r="X43" s="41">
        <f t="shared" ref="X43:X54" si="40">V43-W43</f>
        <v>0</v>
      </c>
      <c r="Y43" s="41">
        <f t="shared" si="37"/>
        <v>12420.494508206357</v>
      </c>
      <c r="Z43" s="41">
        <f>Z42+X43+Y43</f>
        <v>24743.810072081655</v>
      </c>
      <c r="AA43" s="9">
        <f>(Constants!Q7*I43*Constants!F7*K43*0.000001)</f>
        <v>6213.3523777302298</v>
      </c>
      <c r="AB43" s="9">
        <f>(Constants!Q7*(1-I43)*Constants!G7*K43*0.000001)</f>
        <v>0</v>
      </c>
      <c r="AC43" s="9">
        <f>(Constants!Q7*Constants!R7*J43*Constants!F7*L43*0.000001)</f>
        <v>0</v>
      </c>
      <c r="AD43" s="9">
        <f>(Constants!Q7*Constants!R7*(1-J43)*Constants!G7*L43*0.000001)</f>
        <v>0</v>
      </c>
      <c r="AE43" s="28">
        <f t="shared" ref="AE43:AE54" si="41">AA43+AB43+AC43+AD43</f>
        <v>6213.3523777302298</v>
      </c>
      <c r="AF43" s="33">
        <f>Constants!Q7*Constants!H7*(K43+L43)/1000000</f>
        <v>2.0354085375323168</v>
      </c>
      <c r="AG43" s="43">
        <f>AG42+AF43</f>
        <v>4.2674690690392296</v>
      </c>
      <c r="AH43" s="9">
        <f>Constants!Q7/Constants!L7*(BAU!K43*I43)</f>
        <v>12104719.224099414</v>
      </c>
      <c r="AI43" s="9">
        <f>(Constants!Q7*Constants!R7)/Constants!L7*(BAU!L43*J43)</f>
        <v>0</v>
      </c>
      <c r="AJ43" s="9">
        <f>Constants!Q7/Constants!M7*BAU!K43*(1-I43)</f>
        <v>0</v>
      </c>
      <c r="AK43" s="9">
        <f>(Constants!Q7*Constants!R7)/Constants!M7*BAU!L43*(1-J43)</f>
        <v>0</v>
      </c>
      <c r="AL43" s="9">
        <f t="shared" ref="AL43:AL54" si="42">(AH43+AI43+AJ43+AK43)*0.001</f>
        <v>12104.719224099415</v>
      </c>
      <c r="AM43" s="28">
        <f>(AL43*Constants!I7*Constants!K7+BAU!AL43*(1-Constants!I7)*Constants!J7)*0.000453592</f>
        <v>3774.9221517095821</v>
      </c>
      <c r="AN43" s="33">
        <f t="shared" si="38"/>
        <v>2438.4302260206478</v>
      </c>
      <c r="AO43" s="48">
        <f>AN43+AO42</f>
        <v>4836.3700519740032</v>
      </c>
      <c r="AQ43" s="7"/>
    </row>
    <row r="44" spans="1:43" x14ac:dyDescent="0.25">
      <c r="A44" s="7">
        <v>2025</v>
      </c>
      <c r="B44" s="88">
        <v>0</v>
      </c>
      <c r="C44" s="82">
        <v>0</v>
      </c>
      <c r="D44" s="82">
        <v>350</v>
      </c>
      <c r="E44" s="82">
        <v>60</v>
      </c>
      <c r="F44" s="82">
        <v>350</v>
      </c>
      <c r="G44" s="82">
        <v>47</v>
      </c>
      <c r="H44" s="90">
        <v>0.03</v>
      </c>
      <c r="I44" s="90">
        <v>1</v>
      </c>
      <c r="J44" s="90">
        <v>1</v>
      </c>
      <c r="K44" s="92">
        <v>3168.7363212328937</v>
      </c>
      <c r="L44" s="93">
        <v>0</v>
      </c>
      <c r="M44" s="18"/>
      <c r="N44" s="7">
        <v>2025</v>
      </c>
      <c r="O44" s="34">
        <f>Constants!P8*Constants!B8-B44</f>
        <v>694.66709003380106</v>
      </c>
      <c r="P44" s="9">
        <f t="shared" si="32"/>
        <v>4</v>
      </c>
      <c r="Q44" s="9">
        <f t="shared" si="33"/>
        <v>0.89999999999999991</v>
      </c>
      <c r="R44" s="9">
        <f t="shared" si="34"/>
        <v>0.90599999999999992</v>
      </c>
      <c r="S44" s="9">
        <f t="shared" si="39"/>
        <v>4</v>
      </c>
      <c r="T44" s="9">
        <f t="shared" si="35"/>
        <v>0.90599999999999992</v>
      </c>
      <c r="U44" s="41">
        <f t="shared" si="36"/>
        <v>12674.945284931575</v>
      </c>
      <c r="V44" s="41">
        <f t="shared" si="36"/>
        <v>0</v>
      </c>
      <c r="W44" s="41">
        <f>IF(O44&gt;0,IF(BAU!V44/BAU!O44&gt;C44,BAU!O44*C44,BAU!V44),0)</f>
        <v>0</v>
      </c>
      <c r="X44" s="41">
        <f t="shared" si="40"/>
        <v>0</v>
      </c>
      <c r="Y44" s="41">
        <f t="shared" si="37"/>
        <v>11980.278194897774</v>
      </c>
      <c r="Z44" s="41">
        <f t="shared" ref="Z44:Z54" si="43">Z43+X44+Y44</f>
        <v>36724.08826697943</v>
      </c>
      <c r="AA44" s="9">
        <f>(Constants!Q8*I44*Constants!F8*K44*0.000001)</f>
        <v>6231.3199757044858</v>
      </c>
      <c r="AB44" s="9">
        <f>(Constants!Q8*(1-I44)*Constants!G8*K44*0.000001)</f>
        <v>0</v>
      </c>
      <c r="AC44" s="9">
        <f>(Constants!Q8*Constants!R8*J44*Constants!F8*L44*0.000001)</f>
        <v>0</v>
      </c>
      <c r="AD44" s="9">
        <f>(Constants!Q8*Constants!R8*(1-J44)*Constants!G8*L44*0.000001)</f>
        <v>0</v>
      </c>
      <c r="AE44" s="28">
        <f t="shared" si="41"/>
        <v>6231.3199757044858</v>
      </c>
      <c r="AF44" s="33">
        <f>Constants!Q8*Constants!H8*(K44+L44)/1000000</f>
        <v>1.822023384708914</v>
      </c>
      <c r="AG44" s="43">
        <f t="shared" ref="AG44:AG54" si="44">AG43+AF44</f>
        <v>6.0894924537481439</v>
      </c>
      <c r="AH44" s="9">
        <f>Constants!Q8/Constants!L8*(BAU!K44*I44)</f>
        <v>12352700.913280772</v>
      </c>
      <c r="AI44" s="9">
        <f>(Constants!Q8*Constants!R8)/Constants!L8*(BAU!L44*J44)</f>
        <v>0</v>
      </c>
      <c r="AJ44" s="9">
        <f>Constants!Q8/Constants!M8*BAU!K44*(1-I44)</f>
        <v>0</v>
      </c>
      <c r="AK44" s="9">
        <f>(Constants!Q8*Constants!R8)/Constants!M8*BAU!L44*(1-J44)</f>
        <v>0</v>
      </c>
      <c r="AL44" s="9">
        <f t="shared" si="42"/>
        <v>12352.700913280773</v>
      </c>
      <c r="AM44" s="28">
        <f>(AL44*Constants!I8*Constants!K8+BAU!AL44*(1-Constants!I8)*Constants!J8)*0.000453592</f>
        <v>3772.5611735559978</v>
      </c>
      <c r="AN44" s="33">
        <f t="shared" si="38"/>
        <v>2458.758802148488</v>
      </c>
      <c r="AO44" s="48">
        <f t="shared" ref="AO44:AO54" si="45">AN44+AO43</f>
        <v>7295.1288541224912</v>
      </c>
      <c r="AQ44" s="7"/>
    </row>
    <row r="45" spans="1:43" x14ac:dyDescent="0.25">
      <c r="A45" s="7">
        <v>2026</v>
      </c>
      <c r="B45" s="88">
        <v>0</v>
      </c>
      <c r="C45" s="82">
        <v>0</v>
      </c>
      <c r="D45" s="82">
        <v>350</v>
      </c>
      <c r="E45" s="82">
        <v>64</v>
      </c>
      <c r="F45" s="82">
        <v>350</v>
      </c>
      <c r="G45" s="82">
        <v>50</v>
      </c>
      <c r="H45" s="90">
        <v>0.03</v>
      </c>
      <c r="I45" s="90">
        <v>1</v>
      </c>
      <c r="J45" s="90">
        <v>1</v>
      </c>
      <c r="K45" s="92">
        <v>3242.2063361050941</v>
      </c>
      <c r="L45" s="93">
        <v>0</v>
      </c>
      <c r="M45" s="18"/>
      <c r="N45" s="7">
        <v>2026</v>
      </c>
      <c r="O45" s="34">
        <f>Constants!P9*Constants!B9-B45</f>
        <v>710.76790330840936</v>
      </c>
      <c r="P45" s="9">
        <f t="shared" si="32"/>
        <v>4</v>
      </c>
      <c r="Q45" s="9">
        <f t="shared" si="33"/>
        <v>0.94</v>
      </c>
      <c r="R45" s="9">
        <f t="shared" si="34"/>
        <v>0.94599999999999995</v>
      </c>
      <c r="S45" s="9">
        <f t="shared" si="39"/>
        <v>4</v>
      </c>
      <c r="T45" s="9">
        <f t="shared" si="35"/>
        <v>0.94599999999999995</v>
      </c>
      <c r="U45" s="41">
        <f t="shared" si="36"/>
        <v>12968.825344420376</v>
      </c>
      <c r="V45" s="41">
        <f t="shared" si="36"/>
        <v>0</v>
      </c>
      <c r="W45" s="41">
        <f>IF(O45&gt;0,IF(BAU!V45/BAU!O45&gt;C45,BAU!O45*C45,BAU!V45),0)</f>
        <v>0</v>
      </c>
      <c r="X45" s="41">
        <f t="shared" si="40"/>
        <v>0</v>
      </c>
      <c r="Y45" s="41">
        <f t="shared" si="37"/>
        <v>12258.057441111967</v>
      </c>
      <c r="Z45" s="41">
        <f t="shared" si="43"/>
        <v>48982.145708091397</v>
      </c>
      <c r="AA45" s="9">
        <f>(Constants!Q9*I45*Constants!F9*K45*0.000001)</f>
        <v>6263.9426413550409</v>
      </c>
      <c r="AB45" s="9">
        <f>(Constants!Q9*(1-I45)*Constants!G9*K45*0.000001)</f>
        <v>0</v>
      </c>
      <c r="AC45" s="9">
        <f>(Constants!Q9*Constants!R9*J45*Constants!F9*L45*0.000001)</f>
        <v>0</v>
      </c>
      <c r="AD45" s="9">
        <f>(Constants!Q9*Constants!R9*(1-J45)*Constants!G9*L45*0.000001)</f>
        <v>0</v>
      </c>
      <c r="AE45" s="28">
        <f t="shared" si="41"/>
        <v>6263.9426413550409</v>
      </c>
      <c r="AF45" s="33">
        <f>Constants!Q9*Constants!H9*(K45+L45)/1000000</f>
        <v>1.8642686432604292</v>
      </c>
      <c r="AG45" s="43">
        <f t="shared" si="44"/>
        <v>7.9537610970085728</v>
      </c>
      <c r="AH45" s="9">
        <f>Constants!Q9/Constants!L9*(BAU!K45*I45)</f>
        <v>12639109.445833417</v>
      </c>
      <c r="AI45" s="9">
        <f>(Constants!Q9*Constants!R9)/Constants!L9*(BAU!L45*J45)</f>
        <v>0</v>
      </c>
      <c r="AJ45" s="9">
        <f>Constants!Q9/Constants!M9*BAU!K45*(1-I45)</f>
        <v>0</v>
      </c>
      <c r="AK45" s="9">
        <f>(Constants!Q9*Constants!R9)/Constants!M9*BAU!L45*(1-J45)</f>
        <v>0</v>
      </c>
      <c r="AL45" s="9">
        <f t="shared" si="42"/>
        <v>12639.109445833417</v>
      </c>
      <c r="AM45" s="28">
        <f>(AL45*Constants!I9*Constants!K9+BAU!AL45*(1-Constants!I9)*Constants!J9)*0.000453592</f>
        <v>3846.0338696728877</v>
      </c>
      <c r="AN45" s="33">
        <f t="shared" si="38"/>
        <v>2417.9087716821532</v>
      </c>
      <c r="AO45" s="48">
        <f t="shared" si="45"/>
        <v>9713.0376258046454</v>
      </c>
      <c r="AQ45" s="7"/>
    </row>
    <row r="46" spans="1:43" x14ac:dyDescent="0.25">
      <c r="A46" s="7">
        <v>2027</v>
      </c>
      <c r="B46" s="88">
        <v>0</v>
      </c>
      <c r="C46" s="82">
        <v>0</v>
      </c>
      <c r="D46" s="82">
        <v>350</v>
      </c>
      <c r="E46" s="82">
        <v>68</v>
      </c>
      <c r="F46" s="82">
        <v>350</v>
      </c>
      <c r="G46" s="82">
        <v>52</v>
      </c>
      <c r="H46" s="90">
        <v>0.03</v>
      </c>
      <c r="I46" s="90">
        <v>1</v>
      </c>
      <c r="J46" s="90">
        <v>1</v>
      </c>
      <c r="K46" s="92">
        <v>3246.8539378117143</v>
      </c>
      <c r="L46" s="93">
        <v>0</v>
      </c>
      <c r="M46" s="18"/>
      <c r="N46" s="7">
        <v>2027</v>
      </c>
      <c r="O46" s="34">
        <f>Constants!P10*Constants!B10-B46</f>
        <v>711.79035952063919</v>
      </c>
      <c r="P46" s="9">
        <f t="shared" si="32"/>
        <v>4</v>
      </c>
      <c r="Q46" s="9">
        <f t="shared" si="33"/>
        <v>0.98</v>
      </c>
      <c r="R46" s="9">
        <f t="shared" si="34"/>
        <v>0.98599999999999999</v>
      </c>
      <c r="S46" s="9">
        <f t="shared" si="39"/>
        <v>4</v>
      </c>
      <c r="T46" s="9">
        <f t="shared" si="35"/>
        <v>0.98599999999999999</v>
      </c>
      <c r="U46" s="41">
        <f t="shared" si="36"/>
        <v>12987.415751246857</v>
      </c>
      <c r="V46" s="41">
        <f t="shared" si="36"/>
        <v>0</v>
      </c>
      <c r="W46" s="41">
        <f>IF(O46&gt;0,IF(BAU!V46/BAU!O46&gt;C46,BAU!O46*C46,BAU!V46),0)</f>
        <v>0</v>
      </c>
      <c r="X46" s="41">
        <f t="shared" si="40"/>
        <v>0</v>
      </c>
      <c r="Y46" s="41">
        <f t="shared" si="37"/>
        <v>12275.625391726218</v>
      </c>
      <c r="Z46" s="41">
        <f t="shared" si="43"/>
        <v>61257.771099817619</v>
      </c>
      <c r="AA46" s="9">
        <f>(Constants!Q10*I46*Constants!F10*K46*0.000001)</f>
        <v>6272.9218078522317</v>
      </c>
      <c r="AB46" s="9">
        <f>(Constants!Q10*(1-I46)*Constants!G10*K46*0.000001)</f>
        <v>0</v>
      </c>
      <c r="AC46" s="9">
        <f>(Constants!Q10*Constants!R10*J46*Constants!F10*L46*0.000001)</f>
        <v>0</v>
      </c>
      <c r="AD46" s="9">
        <f>(Constants!Q10*Constants!R10*(1-J46)*Constants!G10*L46*0.000001)</f>
        <v>0</v>
      </c>
      <c r="AE46" s="28">
        <f t="shared" si="41"/>
        <v>6272.9218078522317</v>
      </c>
      <c r="AF46" s="33">
        <f>Constants!Q10*Constants!H10*(K46+L46)/1000000</f>
        <v>1.8669410142417358</v>
      </c>
      <c r="AG46" s="43">
        <f t="shared" si="44"/>
        <v>9.8207021112503092</v>
      </c>
      <c r="AH46" s="9">
        <f>Constants!Q10/Constants!L10*(BAU!K46*I46)</f>
        <v>12657227.215198208</v>
      </c>
      <c r="AI46" s="9">
        <f>(Constants!Q10*Constants!R10)/Constants!L10*(BAU!L46*J46)</f>
        <v>0</v>
      </c>
      <c r="AJ46" s="9">
        <f>Constants!Q10/Constants!M10*BAU!K46*(1-I46)</f>
        <v>0</v>
      </c>
      <c r="AK46" s="9">
        <f>(Constants!Q10*Constants!R10)/Constants!M10*BAU!L46*(1-J46)</f>
        <v>0</v>
      </c>
      <c r="AL46" s="9">
        <f t="shared" si="42"/>
        <v>12657.227215198209</v>
      </c>
      <c r="AM46" s="28">
        <f>(AL46*Constants!I10*Constants!K10+BAU!AL46*(1-Constants!I10)*Constants!J10)*0.000453592</f>
        <v>3734.402519843366</v>
      </c>
      <c r="AN46" s="33">
        <f t="shared" si="38"/>
        <v>2538.5192880088657</v>
      </c>
      <c r="AO46" s="48">
        <f t="shared" si="45"/>
        <v>12251.556913813511</v>
      </c>
      <c r="AQ46" s="7"/>
    </row>
    <row r="47" spans="1:43" x14ac:dyDescent="0.25">
      <c r="A47" s="7">
        <v>2028</v>
      </c>
      <c r="B47" s="88">
        <v>0</v>
      </c>
      <c r="C47" s="82">
        <v>0</v>
      </c>
      <c r="D47" s="82">
        <v>350</v>
      </c>
      <c r="E47" s="82">
        <v>71</v>
      </c>
      <c r="F47" s="82">
        <v>350</v>
      </c>
      <c r="G47" s="82">
        <v>55</v>
      </c>
      <c r="H47" s="90">
        <v>0.03</v>
      </c>
      <c r="I47" s="90">
        <v>1</v>
      </c>
      <c r="J47" s="90">
        <v>1</v>
      </c>
      <c r="K47" s="92">
        <v>3216.0805504076056</v>
      </c>
      <c r="L47" s="93">
        <v>0</v>
      </c>
      <c r="M47" s="18"/>
      <c r="N47" s="7">
        <v>2028</v>
      </c>
      <c r="O47" s="34">
        <f>Constants!P11*Constants!B11-B47</f>
        <v>705.06972037283629</v>
      </c>
      <c r="P47" s="9">
        <f t="shared" si="32"/>
        <v>4</v>
      </c>
      <c r="Q47" s="9">
        <f t="shared" si="33"/>
        <v>1.01</v>
      </c>
      <c r="R47" s="9">
        <f t="shared" si="34"/>
        <v>1.016</v>
      </c>
      <c r="S47" s="9">
        <f t="shared" si="39"/>
        <v>4</v>
      </c>
      <c r="T47" s="9">
        <f t="shared" si="35"/>
        <v>1.016</v>
      </c>
      <c r="U47" s="41">
        <f t="shared" si="36"/>
        <v>12864.322201630423</v>
      </c>
      <c r="V47" s="41">
        <f t="shared" si="36"/>
        <v>0</v>
      </c>
      <c r="W47" s="41">
        <f>IF(O47&gt;0,IF(BAU!V47/BAU!O47&gt;C47,BAU!O47*C47,BAU!V47),0)</f>
        <v>0</v>
      </c>
      <c r="X47" s="41">
        <f t="shared" si="40"/>
        <v>0</v>
      </c>
      <c r="Y47" s="41">
        <f t="shared" si="37"/>
        <v>12159.252481257587</v>
      </c>
      <c r="Z47" s="41">
        <f t="shared" si="43"/>
        <v>73417.023581075206</v>
      </c>
      <c r="AA47" s="9">
        <f>(Constants!Q11*I47*Constants!F11*K47*0.000001)</f>
        <v>6213.4676233874934</v>
      </c>
      <c r="AB47" s="9">
        <f>(Constants!Q11*(1-I47)*Constants!G11*K47*0.000001)</f>
        <v>0</v>
      </c>
      <c r="AC47" s="9">
        <f>(Constants!Q11*Constants!R11*J47*Constants!F11*L47*0.000001)</f>
        <v>0</v>
      </c>
      <c r="AD47" s="9">
        <f>(Constants!Q11*Constants!R11*(1-J47)*Constants!G11*L47*0.000001)</f>
        <v>0</v>
      </c>
      <c r="AE47" s="28">
        <f t="shared" si="41"/>
        <v>6213.4676233874934</v>
      </c>
      <c r="AF47" s="33">
        <f>Constants!Q11*Constants!H11*(K47+L47)/1000000</f>
        <v>1.8492463164843733</v>
      </c>
      <c r="AG47" s="43">
        <f t="shared" si="44"/>
        <v>11.669948427734683</v>
      </c>
      <c r="AH47" s="9">
        <f>Constants!Q11/Constants!L11*(BAU!K47*I47)</f>
        <v>12537263.162605919</v>
      </c>
      <c r="AI47" s="9">
        <f>(Constants!Q11*Constants!R11)/Constants!L11*(BAU!L47*J47)</f>
        <v>0</v>
      </c>
      <c r="AJ47" s="9">
        <f>Constants!Q11/Constants!M11*BAU!K47*(1-I47)</f>
        <v>0</v>
      </c>
      <c r="AK47" s="9">
        <f>(Constants!Q11*Constants!R11)/Constants!M11*BAU!L47*(1-J47)</f>
        <v>0</v>
      </c>
      <c r="AL47" s="9">
        <f t="shared" si="42"/>
        <v>12537.263162605919</v>
      </c>
      <c r="AM47" s="28">
        <f>(AL47*Constants!I11*Constants!K11+BAU!AL47*(1-Constants!I11)*Constants!J11)*0.000453592</f>
        <v>3584.4469998961554</v>
      </c>
      <c r="AN47" s="33">
        <f t="shared" si="38"/>
        <v>2629.020623491338</v>
      </c>
      <c r="AO47" s="48">
        <f t="shared" si="45"/>
        <v>14880.577537304849</v>
      </c>
      <c r="AQ47" s="7"/>
    </row>
    <row r="48" spans="1:43" x14ac:dyDescent="0.25">
      <c r="A48" s="7">
        <v>2029</v>
      </c>
      <c r="B48" s="88">
        <v>0</v>
      </c>
      <c r="C48" s="82">
        <v>0</v>
      </c>
      <c r="D48" s="82">
        <v>350</v>
      </c>
      <c r="E48" s="82">
        <v>75</v>
      </c>
      <c r="F48" s="82">
        <v>350</v>
      </c>
      <c r="G48" s="82">
        <v>58</v>
      </c>
      <c r="H48" s="90">
        <v>0.03</v>
      </c>
      <c r="I48" s="90">
        <v>1</v>
      </c>
      <c r="J48" s="90">
        <v>1</v>
      </c>
      <c r="K48" s="92">
        <v>3241.7578421507383</v>
      </c>
      <c r="L48" s="93">
        <v>0</v>
      </c>
      <c r="M48" s="18"/>
      <c r="N48" s="7">
        <v>2029</v>
      </c>
      <c r="O48" s="34">
        <f>Constants!P12*Constants!B12-B48</f>
        <v>710.69322954010033</v>
      </c>
      <c r="P48" s="9">
        <f t="shared" si="32"/>
        <v>4</v>
      </c>
      <c r="Q48" s="9">
        <f t="shared" si="33"/>
        <v>1.05</v>
      </c>
      <c r="R48" s="9">
        <f t="shared" si="34"/>
        <v>1.056</v>
      </c>
      <c r="S48" s="9">
        <f t="shared" si="39"/>
        <v>4</v>
      </c>
      <c r="T48" s="9">
        <f t="shared" si="35"/>
        <v>1.056</v>
      </c>
      <c r="U48" s="41">
        <f t="shared" si="36"/>
        <v>12967.031368602953</v>
      </c>
      <c r="V48" s="41">
        <f t="shared" si="36"/>
        <v>0</v>
      </c>
      <c r="W48" s="41">
        <f>IF(O48&gt;0,IF(BAU!V48/BAU!O48&gt;C48,BAU!O48*C48,BAU!V48),0)</f>
        <v>0</v>
      </c>
      <c r="X48" s="41">
        <f t="shared" si="40"/>
        <v>0</v>
      </c>
      <c r="Y48" s="41">
        <f t="shared" si="37"/>
        <v>12256.338139062853</v>
      </c>
      <c r="Z48" s="41">
        <f t="shared" si="43"/>
        <v>85673.361720138055</v>
      </c>
      <c r="AA48" s="9">
        <f>(Constants!Q12*I48*Constants!F12*K48*0.000001)</f>
        <v>6263.0761510352258</v>
      </c>
      <c r="AB48" s="9">
        <f>(Constants!Q12*(1-I48)*Constants!G12*K48*0.000001)</f>
        <v>0</v>
      </c>
      <c r="AC48" s="9">
        <f>(Constants!Q12*Constants!R12*J48*Constants!F12*L48*0.000001)</f>
        <v>0</v>
      </c>
      <c r="AD48" s="9">
        <f>(Constants!Q12*Constants!R12*(1-J48)*Constants!G12*L48*0.000001)</f>
        <v>0</v>
      </c>
      <c r="AE48" s="28">
        <f t="shared" si="41"/>
        <v>6263.0761510352258</v>
      </c>
      <c r="AF48" s="33">
        <f>Constants!Q12*Constants!H12*(K48+L48)/1000000</f>
        <v>1.8640107592366746</v>
      </c>
      <c r="AG48" s="43">
        <f t="shared" si="44"/>
        <v>13.533959186971357</v>
      </c>
      <c r="AH48" s="9">
        <f>Constants!Q12/Constants!L12*(BAU!K48*I48)</f>
        <v>12637361.079570673</v>
      </c>
      <c r="AI48" s="9">
        <f>(Constants!Q12*Constants!R12)/Constants!L12*(BAU!L48*J48)</f>
        <v>0</v>
      </c>
      <c r="AJ48" s="9">
        <f>Constants!Q12/Constants!M12*BAU!K48*(1-I48)</f>
        <v>0</v>
      </c>
      <c r="AK48" s="9">
        <f>(Constants!Q12*Constants!R12)/Constants!M12*BAU!L48*(1-J48)</f>
        <v>0</v>
      </c>
      <c r="AL48" s="9">
        <f t="shared" si="42"/>
        <v>12637.361079570674</v>
      </c>
      <c r="AM48" s="28">
        <f>(AL48*Constants!I12*Constants!K12+BAU!AL48*(1-Constants!I12)*Constants!J12)*0.000453592</f>
        <v>3592.4020545025196</v>
      </c>
      <c r="AN48" s="33">
        <f t="shared" si="38"/>
        <v>2670.6740965327062</v>
      </c>
      <c r="AO48" s="48">
        <f t="shared" si="45"/>
        <v>17551.251633837557</v>
      </c>
      <c r="AQ48" s="7"/>
    </row>
    <row r="49" spans="1:43" x14ac:dyDescent="0.25">
      <c r="A49" s="7">
        <v>2030</v>
      </c>
      <c r="B49" s="88">
        <v>0</v>
      </c>
      <c r="C49" s="82">
        <v>0</v>
      </c>
      <c r="D49" s="82">
        <v>350</v>
      </c>
      <c r="E49" s="82">
        <v>78</v>
      </c>
      <c r="F49" s="82">
        <v>350</v>
      </c>
      <c r="G49" s="82">
        <v>60</v>
      </c>
      <c r="H49" s="90">
        <v>0.03</v>
      </c>
      <c r="I49" s="90">
        <v>1</v>
      </c>
      <c r="J49" s="90">
        <v>1</v>
      </c>
      <c r="K49" s="92">
        <v>3260.2326160166795</v>
      </c>
      <c r="L49" s="93">
        <v>0</v>
      </c>
      <c r="M49" s="18"/>
      <c r="N49" s="7">
        <v>2030</v>
      </c>
      <c r="O49" s="34">
        <f>Constants!P13*Constants!B13-B49</f>
        <v>714.71412475673458</v>
      </c>
      <c r="P49" s="9">
        <f t="shared" si="32"/>
        <v>4</v>
      </c>
      <c r="Q49" s="9">
        <f t="shared" si="33"/>
        <v>1.08</v>
      </c>
      <c r="R49" s="9">
        <f t="shared" si="34"/>
        <v>1.0860000000000001</v>
      </c>
      <c r="S49" s="9">
        <f t="shared" si="39"/>
        <v>4</v>
      </c>
      <c r="T49" s="9">
        <f t="shared" si="35"/>
        <v>1.0860000000000001</v>
      </c>
      <c r="U49" s="41">
        <f t="shared" si="36"/>
        <v>13040.930464066718</v>
      </c>
      <c r="V49" s="41">
        <f t="shared" si="36"/>
        <v>0</v>
      </c>
      <c r="W49" s="41">
        <f>IF(O49&gt;0,IF(BAU!V49/BAU!O49&gt;C49,BAU!O49*C49,BAU!V49),0)</f>
        <v>0</v>
      </c>
      <c r="X49" s="41">
        <f t="shared" si="40"/>
        <v>0</v>
      </c>
      <c r="Y49" s="41">
        <f t="shared" si="37"/>
        <v>12326.216339309984</v>
      </c>
      <c r="Z49" s="41">
        <f t="shared" si="43"/>
        <v>97999.578059448046</v>
      </c>
      <c r="AA49" s="9">
        <f>(Constants!Q13*I49*Constants!F13*K49*0.000001)</f>
        <v>6298.7694141442253</v>
      </c>
      <c r="AB49" s="9">
        <f>(Constants!Q13*(1-I49)*Constants!G13*K49*0.000001)</f>
        <v>0</v>
      </c>
      <c r="AC49" s="9">
        <f>(Constants!Q13*Constants!R13*J49*Constants!F13*L49*0.000001)</f>
        <v>0</v>
      </c>
      <c r="AD49" s="9">
        <f>(Constants!Q13*Constants!R13*(1-J49)*Constants!G13*L49*0.000001)</f>
        <v>0</v>
      </c>
      <c r="AE49" s="28">
        <f t="shared" si="41"/>
        <v>6298.7694141442253</v>
      </c>
      <c r="AF49" s="33">
        <f>Constants!Q13*Constants!H13*(K49+L49)/1000000</f>
        <v>1.8746337542095906</v>
      </c>
      <c r="AG49" s="43">
        <f t="shared" si="44"/>
        <v>15.408592941180947</v>
      </c>
      <c r="AH49" s="9">
        <f>Constants!Q13/Constants!L13*(BAU!K49*I49)</f>
        <v>12709381.3844718</v>
      </c>
      <c r="AI49" s="9">
        <f>(Constants!Q13*Constants!R13)/Constants!L13*(BAU!L49*J49)</f>
        <v>0</v>
      </c>
      <c r="AJ49" s="9">
        <f>Constants!Q13/Constants!M13*BAU!K49*(1-I49)</f>
        <v>0</v>
      </c>
      <c r="AK49" s="9">
        <f>(Constants!Q13*Constants!R13)/Constants!M13*BAU!L49*(1-J49)</f>
        <v>0</v>
      </c>
      <c r="AL49" s="9">
        <f t="shared" si="42"/>
        <v>12709.381384471801</v>
      </c>
      <c r="AM49" s="28">
        <f>(AL49*Constants!I13*Constants!K13+BAU!AL49*(1-Constants!I13)*Constants!J13)*0.000453592</f>
        <v>3520.8299917971549</v>
      </c>
      <c r="AN49" s="33">
        <f t="shared" si="38"/>
        <v>2777.9394223470704</v>
      </c>
      <c r="AO49" s="48">
        <f t="shared" si="45"/>
        <v>20329.191056184627</v>
      </c>
      <c r="AQ49" s="7"/>
    </row>
    <row r="50" spans="1:43" x14ac:dyDescent="0.25">
      <c r="A50" s="7">
        <v>2031</v>
      </c>
      <c r="B50" s="88">
        <v>0</v>
      </c>
      <c r="C50" s="82">
        <v>0</v>
      </c>
      <c r="D50" s="82">
        <v>350</v>
      </c>
      <c r="E50" s="82">
        <v>80</v>
      </c>
      <c r="F50" s="82">
        <v>350</v>
      </c>
      <c r="G50" s="82">
        <v>63</v>
      </c>
      <c r="H50" s="90">
        <v>0.03</v>
      </c>
      <c r="I50" s="90">
        <v>1</v>
      </c>
      <c r="J50" s="90">
        <v>1</v>
      </c>
      <c r="K50" s="92">
        <v>3271.4755195791822</v>
      </c>
      <c r="L50" s="93">
        <v>0</v>
      </c>
      <c r="M50" s="18"/>
      <c r="N50" s="7">
        <v>2031</v>
      </c>
      <c r="O50" s="34">
        <f>Constants!P14*Constants!B14-B50</f>
        <v>717.22431219911914</v>
      </c>
      <c r="P50" s="9">
        <f t="shared" si="32"/>
        <v>4</v>
      </c>
      <c r="Q50" s="9">
        <f t="shared" si="33"/>
        <v>1.1000000000000001</v>
      </c>
      <c r="R50" s="9">
        <f t="shared" si="34"/>
        <v>1.1060000000000001</v>
      </c>
      <c r="S50" s="9">
        <f t="shared" si="39"/>
        <v>4</v>
      </c>
      <c r="T50" s="9">
        <f t="shared" si="35"/>
        <v>1.1060000000000001</v>
      </c>
      <c r="U50" s="41">
        <f t="shared" si="36"/>
        <v>13085.902078316729</v>
      </c>
      <c r="V50" s="41">
        <f t="shared" si="36"/>
        <v>0</v>
      </c>
      <c r="W50" s="41">
        <f>IF(O50&gt;0,IF(BAU!V50/BAU!O50&gt;C50,BAU!O50*C50,BAU!V50),0)</f>
        <v>0</v>
      </c>
      <c r="X50" s="41">
        <f t="shared" si="40"/>
        <v>0</v>
      </c>
      <c r="Y50" s="41">
        <f t="shared" si="37"/>
        <v>12368.677766117609</v>
      </c>
      <c r="Z50" s="41">
        <f t="shared" si="43"/>
        <v>110368.25582556566</v>
      </c>
      <c r="AA50" s="9">
        <f>(Constants!Q14*I50*Constants!F14*K50*0.000001)</f>
        <v>6320.4907038269794</v>
      </c>
      <c r="AB50" s="9">
        <f>(Constants!Q14*(1-I50)*Constants!G14*K50*0.000001)</f>
        <v>0</v>
      </c>
      <c r="AC50" s="9">
        <f>(Constants!Q14*Constants!R14*J50*Constants!F14*L50*0.000001)</f>
        <v>0</v>
      </c>
      <c r="AD50" s="9">
        <f>(Constants!Q14*Constants!R14*(1-J50)*Constants!G14*L50*0.000001)</f>
        <v>0</v>
      </c>
      <c r="AE50" s="28">
        <f t="shared" si="41"/>
        <v>6320.4907038269794</v>
      </c>
      <c r="AF50" s="33">
        <f>Constants!Q14*Constants!H14*(K50+L50)/1000000</f>
        <v>1.8810984237580297</v>
      </c>
      <c r="AG50" s="43">
        <f t="shared" si="44"/>
        <v>17.289691364938978</v>
      </c>
      <c r="AH50" s="9">
        <f>Constants!Q14/Constants!L14*(BAU!K50*I50)</f>
        <v>12753209.652596811</v>
      </c>
      <c r="AI50" s="9">
        <f>(Constants!Q14*Constants!R14)/Constants!L14*(BAU!L50*J50)</f>
        <v>0</v>
      </c>
      <c r="AJ50" s="9">
        <f>Constants!Q14/Constants!M14*BAU!K50*(1-I50)</f>
        <v>0</v>
      </c>
      <c r="AK50" s="9">
        <f>(Constants!Q14*Constants!R14)/Constants!M14*BAU!L50*(1-J50)</f>
        <v>0</v>
      </c>
      <c r="AL50" s="9">
        <f t="shared" si="42"/>
        <v>12753.209652596812</v>
      </c>
      <c r="AM50" s="28">
        <f>(AL50*Constants!I14*Constants!K14+BAU!AL50*(1-Constants!I14)*Constants!J14)*0.000453592</f>
        <v>3489.5744599653858</v>
      </c>
      <c r="AN50" s="33">
        <f t="shared" si="38"/>
        <v>2830.9162438615936</v>
      </c>
      <c r="AO50" s="48">
        <f t="shared" si="45"/>
        <v>23160.10730004622</v>
      </c>
      <c r="AQ50" s="7"/>
    </row>
    <row r="51" spans="1:43" x14ac:dyDescent="0.25">
      <c r="A51" s="7">
        <v>2032</v>
      </c>
      <c r="B51" s="88">
        <v>0</v>
      </c>
      <c r="C51" s="82">
        <v>0</v>
      </c>
      <c r="D51" s="82">
        <v>350</v>
      </c>
      <c r="E51" s="82">
        <v>80</v>
      </c>
      <c r="F51" s="82">
        <v>350</v>
      </c>
      <c r="G51" s="82">
        <v>66</v>
      </c>
      <c r="H51" s="90">
        <v>0.03</v>
      </c>
      <c r="I51" s="90">
        <v>1</v>
      </c>
      <c r="J51" s="90">
        <v>1</v>
      </c>
      <c r="K51" s="92">
        <v>3298.84544877598</v>
      </c>
      <c r="L51" s="93">
        <v>0</v>
      </c>
      <c r="M51" s="18"/>
      <c r="N51" s="7">
        <v>2032</v>
      </c>
      <c r="O51" s="34">
        <f>Constants!P15*Constants!B15-B51</f>
        <v>723.2269343439516</v>
      </c>
      <c r="P51" s="9">
        <f t="shared" si="32"/>
        <v>4</v>
      </c>
      <c r="Q51" s="9">
        <f t="shared" si="33"/>
        <v>1.1000000000000001</v>
      </c>
      <c r="R51" s="9">
        <f t="shared" si="34"/>
        <v>1.1060000000000001</v>
      </c>
      <c r="S51" s="9">
        <f t="shared" si="39"/>
        <v>4</v>
      </c>
      <c r="T51" s="9">
        <f t="shared" si="35"/>
        <v>1.1060000000000001</v>
      </c>
      <c r="U51" s="41">
        <f t="shared" si="36"/>
        <v>13195.38179510392</v>
      </c>
      <c r="V51" s="41">
        <f t="shared" si="36"/>
        <v>0</v>
      </c>
      <c r="W51" s="41">
        <f>IF(O51&gt;0,IF(BAU!V51/BAU!O51&gt;C51,BAU!O51*C51,BAU!V51),0)</f>
        <v>0</v>
      </c>
      <c r="X51" s="41">
        <f t="shared" si="40"/>
        <v>0</v>
      </c>
      <c r="Y51" s="41">
        <f t="shared" si="37"/>
        <v>12472.154860759969</v>
      </c>
      <c r="Z51" s="41">
        <f t="shared" si="43"/>
        <v>122840.41068632563</v>
      </c>
      <c r="AA51" s="9">
        <f>(Constants!Q15*I51*Constants!F15*K51*0.000001)</f>
        <v>6373.369407035193</v>
      </c>
      <c r="AB51" s="9">
        <f>(Constants!Q15*(1-I51)*Constants!G15*K51*0.000001)</f>
        <v>0</v>
      </c>
      <c r="AC51" s="9">
        <f>(Constants!Q15*Constants!R15*J51*Constants!F15*L51*0.000001)</f>
        <v>0</v>
      </c>
      <c r="AD51" s="9">
        <f>(Constants!Q15*Constants!R15*(1-J51)*Constants!G15*L51*0.000001)</f>
        <v>0</v>
      </c>
      <c r="AE51" s="28">
        <f t="shared" si="41"/>
        <v>6373.369407035193</v>
      </c>
      <c r="AF51" s="33">
        <f>Constants!Q15*Constants!H15*(K51+L51)/1000000</f>
        <v>1.8968361330461885</v>
      </c>
      <c r="AG51" s="43">
        <f t="shared" si="44"/>
        <v>19.186527497985168</v>
      </c>
      <c r="AH51" s="9">
        <f>Constants!Q15/Constants!L15*(BAU!K51*I51)</f>
        <v>12859905.98675382</v>
      </c>
      <c r="AI51" s="9">
        <f>(Constants!Q15*Constants!R15)/Constants!L15*(BAU!L51*J51)</f>
        <v>0</v>
      </c>
      <c r="AJ51" s="9">
        <f>Constants!Q15/Constants!M15*BAU!K51*(1-I51)</f>
        <v>0</v>
      </c>
      <c r="AK51" s="9">
        <f>(Constants!Q15*Constants!R15)/Constants!M15*BAU!L51*(1-J51)</f>
        <v>0</v>
      </c>
      <c r="AL51" s="9">
        <f t="shared" si="42"/>
        <v>12859.90598675382</v>
      </c>
      <c r="AM51" s="28">
        <f>(AL51*Constants!I15*Constants!K15+BAU!AL51*(1-Constants!I15)*Constants!J15)*0.000453592</f>
        <v>3160.7689746694678</v>
      </c>
      <c r="AN51" s="33">
        <f t="shared" si="38"/>
        <v>3212.6004323657253</v>
      </c>
      <c r="AO51" s="48">
        <f t="shared" si="45"/>
        <v>26372.707732411945</v>
      </c>
      <c r="AQ51" s="7"/>
    </row>
    <row r="52" spans="1:43" x14ac:dyDescent="0.25">
      <c r="A52" s="7">
        <v>2033</v>
      </c>
      <c r="B52" s="88">
        <v>0</v>
      </c>
      <c r="C52" s="82">
        <v>0</v>
      </c>
      <c r="D52" s="82">
        <v>350</v>
      </c>
      <c r="E52" s="82">
        <v>80</v>
      </c>
      <c r="F52" s="82">
        <v>350</v>
      </c>
      <c r="G52" s="82">
        <v>69</v>
      </c>
      <c r="H52" s="90">
        <v>0.03</v>
      </c>
      <c r="I52" s="90">
        <v>1</v>
      </c>
      <c r="J52" s="90">
        <v>1</v>
      </c>
      <c r="K52" s="92">
        <v>3309.8311038910738</v>
      </c>
      <c r="L52" s="93">
        <v>0</v>
      </c>
      <c r="M52" s="18"/>
      <c r="N52" s="7">
        <v>2033</v>
      </c>
      <c r="O52" s="34">
        <f>Constants!P16*Constants!B16-B52</f>
        <v>725.59351838574207</v>
      </c>
      <c r="P52" s="9">
        <f t="shared" si="32"/>
        <v>4</v>
      </c>
      <c r="Q52" s="9">
        <f t="shared" si="33"/>
        <v>1.1000000000000001</v>
      </c>
      <c r="R52" s="9">
        <f t="shared" si="34"/>
        <v>1.1060000000000001</v>
      </c>
      <c r="S52" s="9">
        <f t="shared" si="39"/>
        <v>4</v>
      </c>
      <c r="T52" s="9">
        <f t="shared" si="35"/>
        <v>1.1060000000000001</v>
      </c>
      <c r="U52" s="41">
        <f t="shared" si="36"/>
        <v>13239.324415564295</v>
      </c>
      <c r="V52" s="41">
        <f t="shared" si="36"/>
        <v>0</v>
      </c>
      <c r="W52" s="41">
        <f>IF(O52&gt;0,IF(BAU!V52/BAU!O52&gt;C52,BAU!O52*C52,BAU!V52),0)</f>
        <v>0</v>
      </c>
      <c r="X52" s="41">
        <f t="shared" si="40"/>
        <v>0</v>
      </c>
      <c r="Y52" s="41">
        <f t="shared" si="37"/>
        <v>12513.730897178553</v>
      </c>
      <c r="Z52" s="41">
        <f t="shared" si="43"/>
        <v>135354.14158350418</v>
      </c>
      <c r="AA52" s="9">
        <f>(Constants!Q16*I52*Constants!F16*K52*0.000001)</f>
        <v>6394.5936927175535</v>
      </c>
      <c r="AB52" s="9">
        <f>(Constants!Q16*(1-I52)*Constants!G16*K52*0.000001)</f>
        <v>0</v>
      </c>
      <c r="AC52" s="9">
        <f>(Constants!Q16*Constants!R16*J52*Constants!F16*L52*0.000001)</f>
        <v>0</v>
      </c>
      <c r="AD52" s="9">
        <f>(Constants!Q16*Constants!R16*(1-J52)*Constants!G16*L52*0.000001)</f>
        <v>0</v>
      </c>
      <c r="AE52" s="28">
        <f t="shared" si="41"/>
        <v>6394.5936927175535</v>
      </c>
      <c r="AF52" s="33">
        <f>Constants!Q16*Constants!H16*(K52+L52)/1000000</f>
        <v>1.9031528847373675</v>
      </c>
      <c r="AG52" s="43">
        <f t="shared" si="44"/>
        <v>21.089680382722534</v>
      </c>
      <c r="AH52" s="9">
        <f>Constants!Q16/Constants!L16*(BAU!K52*I52)</f>
        <v>12902731.421948252</v>
      </c>
      <c r="AI52" s="9">
        <f>(Constants!Q16*Constants!R16)/Constants!L16*(BAU!L52*J52)</f>
        <v>0</v>
      </c>
      <c r="AJ52" s="9">
        <f>Constants!Q16/Constants!M16*BAU!K52*(1-I52)</f>
        <v>0</v>
      </c>
      <c r="AK52" s="9">
        <f>(Constants!Q16*Constants!R16)/Constants!M16*BAU!L52*(1-J52)</f>
        <v>0</v>
      </c>
      <c r="AL52" s="9">
        <f t="shared" si="42"/>
        <v>12902.731421948252</v>
      </c>
      <c r="AM52" s="28">
        <f>(AL52*Constants!I16*Constants!K16+BAU!AL52*(1-Constants!I16)*Constants!J16)*0.000453592</f>
        <v>3317.5257562304791</v>
      </c>
      <c r="AN52" s="33">
        <f t="shared" si="38"/>
        <v>3077.0679364870743</v>
      </c>
      <c r="AO52" s="48">
        <f t="shared" si="45"/>
        <v>29449.775668899019</v>
      </c>
      <c r="AQ52" s="7"/>
    </row>
    <row r="53" spans="1:43" x14ac:dyDescent="0.25">
      <c r="A53" s="7">
        <v>2034</v>
      </c>
      <c r="B53" s="88">
        <v>0</v>
      </c>
      <c r="C53" s="82">
        <v>0</v>
      </c>
      <c r="D53" s="82">
        <v>350</v>
      </c>
      <c r="E53" s="82">
        <v>80</v>
      </c>
      <c r="F53" s="82">
        <v>350</v>
      </c>
      <c r="G53" s="82">
        <v>71</v>
      </c>
      <c r="H53" s="90">
        <v>0.03</v>
      </c>
      <c r="I53" s="90">
        <v>1</v>
      </c>
      <c r="J53" s="90">
        <v>1</v>
      </c>
      <c r="K53" s="92">
        <v>3333.125325210442</v>
      </c>
      <c r="L53" s="93">
        <v>0</v>
      </c>
      <c r="M53" s="18"/>
      <c r="N53" s="7">
        <v>2034</v>
      </c>
      <c r="O53" s="34">
        <f>Constants!P17*Constants!B17-B53</f>
        <v>730.69431117484385</v>
      </c>
      <c r="P53" s="9">
        <f t="shared" si="32"/>
        <v>4</v>
      </c>
      <c r="Q53" s="9">
        <f t="shared" si="33"/>
        <v>1.1000000000000001</v>
      </c>
      <c r="R53" s="9">
        <f t="shared" si="34"/>
        <v>1.1060000000000001</v>
      </c>
      <c r="S53" s="9">
        <f t="shared" si="39"/>
        <v>4</v>
      </c>
      <c r="T53" s="9">
        <f t="shared" si="35"/>
        <v>1.1060000000000001</v>
      </c>
      <c r="U53" s="41">
        <f t="shared" si="36"/>
        <v>13332.501300841768</v>
      </c>
      <c r="V53" s="41">
        <f t="shared" si="36"/>
        <v>0</v>
      </c>
      <c r="W53" s="41">
        <f>IF(O53&gt;0,IF(BAU!V53/BAU!O53&gt;C53,BAU!O53*C53,BAU!V53),0)</f>
        <v>0</v>
      </c>
      <c r="X53" s="41">
        <f t="shared" si="40"/>
        <v>0</v>
      </c>
      <c r="Y53" s="41">
        <f t="shared" si="37"/>
        <v>12601.806989666924</v>
      </c>
      <c r="Z53" s="41">
        <f t="shared" si="43"/>
        <v>147955.9485731711</v>
      </c>
      <c r="AA53" s="9">
        <f>(Constants!Q17*I53*Constants!F17*K53*0.000001)</f>
        <v>6439.5981283065739</v>
      </c>
      <c r="AB53" s="9">
        <f>(Constants!Q17*(1-I53)*Constants!G17*K53*0.000001)</f>
        <v>0</v>
      </c>
      <c r="AC53" s="9">
        <f>(Constants!Q17*Constants!R17*J53*Constants!F17*L53*0.000001)</f>
        <v>0</v>
      </c>
      <c r="AD53" s="9">
        <f>(Constants!Q17*Constants!R17*(1-J53)*Constants!G17*L53*0.000001)</f>
        <v>0</v>
      </c>
      <c r="AE53" s="28">
        <f t="shared" si="41"/>
        <v>6439.5981283065739</v>
      </c>
      <c r="AF53" s="33">
        <f>Constants!Q17*Constants!H17*(K53+L53)/1000000</f>
        <v>1.9165470619960041</v>
      </c>
      <c r="AG53" s="43">
        <f t="shared" si="44"/>
        <v>23.006227444718537</v>
      </c>
      <c r="AH53" s="9">
        <f>Constants!Q17/Constants!L17*(BAU!K53*I53)</f>
        <v>12993539.40336274</v>
      </c>
      <c r="AI53" s="9">
        <f>(Constants!Q17*Constants!R17)/Constants!L17*(BAU!L53*J53)</f>
        <v>0</v>
      </c>
      <c r="AJ53" s="9">
        <f>Constants!Q17/Constants!M17*BAU!K53*(1-I53)</f>
        <v>0</v>
      </c>
      <c r="AK53" s="9">
        <f>(Constants!Q17*Constants!R17)/Constants!M17*BAU!L53*(1-J53)</f>
        <v>0</v>
      </c>
      <c r="AL53" s="9">
        <f t="shared" si="42"/>
        <v>12993.53940336274</v>
      </c>
      <c r="AM53" s="28">
        <f>(AL53*Constants!I17*Constants!K17+BAU!AL53*(1-Constants!I17)*Constants!J17)*0.000453592</f>
        <v>3330.8101240484029</v>
      </c>
      <c r="AN53" s="33">
        <f t="shared" si="38"/>
        <v>3108.788004258171</v>
      </c>
      <c r="AO53" s="48">
        <f t="shared" si="45"/>
        <v>32558.56367315719</v>
      </c>
      <c r="AQ53" s="7"/>
    </row>
    <row r="54" spans="1:43" ht="15.75" thickBot="1" x14ac:dyDescent="0.3">
      <c r="A54" s="7">
        <v>2035</v>
      </c>
      <c r="B54" s="89">
        <v>0</v>
      </c>
      <c r="C54" s="85">
        <v>0</v>
      </c>
      <c r="D54" s="85">
        <v>350</v>
      </c>
      <c r="E54" s="85">
        <v>80</v>
      </c>
      <c r="F54" s="85">
        <v>350</v>
      </c>
      <c r="G54" s="85">
        <v>74</v>
      </c>
      <c r="H54" s="91">
        <v>0.03</v>
      </c>
      <c r="I54" s="91">
        <v>1</v>
      </c>
      <c r="J54" s="91">
        <v>1</v>
      </c>
      <c r="K54" s="94">
        <v>3356.986961427137</v>
      </c>
      <c r="L54" s="95">
        <v>0</v>
      </c>
      <c r="M54" s="18"/>
      <c r="N54" s="7">
        <v>2035</v>
      </c>
      <c r="O54" s="35">
        <f>Constants!P18*Constants!B18-B54</f>
        <v>735.95019563658718</v>
      </c>
      <c r="P54" s="16">
        <f t="shared" si="32"/>
        <v>4</v>
      </c>
      <c r="Q54" s="16">
        <f t="shared" si="33"/>
        <v>1.1000000000000001</v>
      </c>
      <c r="R54" s="16">
        <f t="shared" si="34"/>
        <v>1.1060000000000001</v>
      </c>
      <c r="S54" s="27">
        <f t="shared" si="39"/>
        <v>4</v>
      </c>
      <c r="T54" s="16">
        <f t="shared" si="35"/>
        <v>1.1060000000000001</v>
      </c>
      <c r="U54" s="50">
        <f t="shared" si="36"/>
        <v>13427.947845708548</v>
      </c>
      <c r="V54" s="50">
        <f t="shared" si="36"/>
        <v>0</v>
      </c>
      <c r="W54" s="50">
        <f>IF(O54&gt;0,IF(BAU!V54/BAU!O54&gt;C54,BAU!O54*C54,BAU!V54),0)</f>
        <v>0</v>
      </c>
      <c r="X54" s="50">
        <f t="shared" si="40"/>
        <v>0</v>
      </c>
      <c r="Y54" s="50">
        <f t="shared" si="37"/>
        <v>12691.99765007196</v>
      </c>
      <c r="Z54" s="50">
        <f t="shared" si="43"/>
        <v>160647.94622324305</v>
      </c>
      <c r="AA54" s="27">
        <f>(Constants!Q18*I54*Constants!F18*K54*0.000001)</f>
        <v>6485.6988094772278</v>
      </c>
      <c r="AB54" s="27">
        <f>(Constants!Q18*(1-I54)*Constants!G18*K54*0.000001)</f>
        <v>0</v>
      </c>
      <c r="AC54" s="27">
        <f>(Constants!Q18*Constants!R18*J54*Constants!F18*L54*0.000001)</f>
        <v>0</v>
      </c>
      <c r="AD54" s="27">
        <f>(Constants!Q18*Constants!R18*(1-J54)*Constants!G18*L54*0.000001)</f>
        <v>0</v>
      </c>
      <c r="AE54" s="47">
        <f t="shared" si="41"/>
        <v>6485.6988094772278</v>
      </c>
      <c r="AF54" s="36">
        <f>Constants!Q18*Constants!H18*(K54+L54)/1000000</f>
        <v>1.9302675028206038</v>
      </c>
      <c r="AG54" s="49">
        <f t="shared" si="44"/>
        <v>24.936494947539142</v>
      </c>
      <c r="AH54" s="27">
        <f>Constants!Q18/Constants!L18*(BAU!K54*I54)</f>
        <v>13086559.341156635</v>
      </c>
      <c r="AI54" s="27">
        <f>(Constants!Q18*Constants!R18)/Constants!L18*(BAU!L54*J54)</f>
        <v>0</v>
      </c>
      <c r="AJ54" s="27">
        <f>Constants!Q18/Constants!M18*BAU!K54*(1-I54)</f>
        <v>0</v>
      </c>
      <c r="AK54" s="27">
        <f>(Constants!Q18*Constants!R18)/Constants!M18*BAU!L54*(1-J54)</f>
        <v>0</v>
      </c>
      <c r="AL54" s="27">
        <f t="shared" si="42"/>
        <v>13086.559341156635</v>
      </c>
      <c r="AM54" s="47">
        <f>(AL54*Constants!I18*Constants!K18+BAU!AL54*(1-Constants!I18)*Constants!J18)*0.000453592</f>
        <v>3351.4039185055863</v>
      </c>
      <c r="AN54" s="36">
        <f t="shared" si="38"/>
        <v>3134.2948909716415</v>
      </c>
      <c r="AO54" s="51">
        <f t="shared" si="45"/>
        <v>35692.85856412883</v>
      </c>
      <c r="AQ54" s="7"/>
    </row>
  </sheetData>
  <sheetProtection algorithmName="SHA-512" hashValue="LHa5sp/r54gfoAD18lZ2ppJyHflrznBUDB/iD6XofFPbdyA63I/v+UDwZOH1hL7uMq7C/6G3sakwCajb7vx3qw==" saltValue="Te3PJnWndYXle2EJCAoTbQ==" spinCount="100000" sheet="1" objects="1" scenarios="1"/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D11AD-42BB-4AA4-AC27-D782B4AC03A3}">
  <dimension ref="A1:E17"/>
  <sheetViews>
    <sheetView workbookViewId="0"/>
  </sheetViews>
  <sheetFormatPr defaultRowHeight="15" x14ac:dyDescent="0.25"/>
  <cols>
    <col min="2" max="2" width="21.85546875" bestFit="1" customWidth="1"/>
    <col min="3" max="3" width="10.28515625" bestFit="1" customWidth="1"/>
    <col min="4" max="4" width="22.5703125" bestFit="1" customWidth="1"/>
    <col min="5" max="5" width="12" bestFit="1" customWidth="1"/>
  </cols>
  <sheetData>
    <row r="1" spans="1:5" ht="15.75" thickBot="1" x14ac:dyDescent="0.3">
      <c r="B1" t="s">
        <v>238</v>
      </c>
      <c r="D1" t="s">
        <v>226</v>
      </c>
    </row>
    <row r="2" spans="1:5" ht="75" x14ac:dyDescent="0.25">
      <c r="B2" s="39" t="s">
        <v>186</v>
      </c>
      <c r="C2" s="40" t="s">
        <v>235</v>
      </c>
      <c r="D2" s="40" t="s">
        <v>186</v>
      </c>
      <c r="E2" s="65" t="s">
        <v>235</v>
      </c>
    </row>
    <row r="3" spans="1:5" ht="30" x14ac:dyDescent="0.25">
      <c r="B3" s="19" t="s">
        <v>112</v>
      </c>
      <c r="C3" s="12" t="s">
        <v>96</v>
      </c>
      <c r="D3" s="12" t="s">
        <v>112</v>
      </c>
      <c r="E3" s="32" t="s">
        <v>96</v>
      </c>
    </row>
    <row r="4" spans="1:5" x14ac:dyDescent="0.25">
      <c r="B4" s="52" t="s">
        <v>206</v>
      </c>
      <c r="C4" s="10" t="s">
        <v>207</v>
      </c>
      <c r="D4" s="10" t="s">
        <v>206</v>
      </c>
      <c r="E4" s="25" t="s">
        <v>207</v>
      </c>
    </row>
    <row r="5" spans="1:5" x14ac:dyDescent="0.25">
      <c r="A5" s="7">
        <v>2023</v>
      </c>
      <c r="B5" s="68">
        <v>0</v>
      </c>
      <c r="C5" s="4">
        <v>0</v>
      </c>
      <c r="D5" s="4">
        <f>'Anticipated Compliance'!AY6-BAU!AV6</f>
        <v>641.09425794216077</v>
      </c>
      <c r="E5" s="69">
        <f>'Anticipated Compliance'!BA6-BAU!AX6</f>
        <v>0.52853710195222359</v>
      </c>
    </row>
    <row r="6" spans="1:5" x14ac:dyDescent="0.25">
      <c r="A6" s="7">
        <v>2024</v>
      </c>
      <c r="B6" s="68">
        <v>0</v>
      </c>
      <c r="C6" s="4">
        <v>0</v>
      </c>
      <c r="D6" s="4">
        <f>'Anticipated Compliance'!AY7-BAU!AV7</f>
        <v>2310.4240252399431</v>
      </c>
      <c r="E6" s="69">
        <f>'Anticipated Compliance'!BA7-BAU!AX7</f>
        <v>1.9387636851395653</v>
      </c>
    </row>
    <row r="7" spans="1:5" x14ac:dyDescent="0.25">
      <c r="A7" s="7">
        <v>2025</v>
      </c>
      <c r="B7" s="68">
        <v>0</v>
      </c>
      <c r="C7" s="4">
        <v>0</v>
      </c>
      <c r="D7" s="4">
        <f>'Anticipated Compliance'!AY8-BAU!AV8</f>
        <v>11085.876458783916</v>
      </c>
      <c r="E7" s="69">
        <f>'Anticipated Compliance'!BA8-BAU!AX8</f>
        <v>9.9122702080746929</v>
      </c>
    </row>
    <row r="8" spans="1:5" x14ac:dyDescent="0.25">
      <c r="A8" s="7">
        <v>2026</v>
      </c>
      <c r="B8" s="68">
        <f>'Minimum Compliance'!AQ9-BAU!AV9</f>
        <v>5797.1315113135897</v>
      </c>
      <c r="C8" s="4">
        <f>'Minimum Compliance'!AS9-BAU!AX9</f>
        <v>5.2576051397649657</v>
      </c>
      <c r="D8" s="4">
        <f>'Anticipated Compliance'!AY9-BAU!AV9</f>
        <v>19442.83697590436</v>
      </c>
      <c r="E8" s="69">
        <f>'Anticipated Compliance'!BA9-BAU!AX9</f>
        <v>17.773435346597442</v>
      </c>
    </row>
    <row r="9" spans="1:5" x14ac:dyDescent="0.25">
      <c r="A9" s="7">
        <v>2027</v>
      </c>
      <c r="B9" s="68">
        <f>'Minimum Compliance'!AQ10-BAU!AV10</f>
        <v>12342.461440170769</v>
      </c>
      <c r="C9" s="4">
        <f>'Minimum Compliance'!AS10-BAU!AX10</f>
        <v>10.785662030147259</v>
      </c>
      <c r="D9" s="4">
        <f>'Anticipated Compliance'!AY10-BAU!AV10</f>
        <v>28647.208172561644</v>
      </c>
      <c r="E9" s="69">
        <f>'Anticipated Compliance'!BA10-BAU!AX10</f>
        <v>25.435743336025958</v>
      </c>
    </row>
    <row r="10" spans="1:5" x14ac:dyDescent="0.25">
      <c r="A10" s="7">
        <v>2028</v>
      </c>
      <c r="B10" s="68">
        <f>'Minimum Compliance'!AQ11-BAU!AV11</f>
        <v>19213.622248809934</v>
      </c>
      <c r="C10" s="4">
        <f>'Minimum Compliance'!AS11-BAU!AX11</f>
        <v>16.085902924934711</v>
      </c>
      <c r="D10" s="4">
        <f>'Anticipated Compliance'!AY11-BAU!AV11</f>
        <v>38370.642600027291</v>
      </c>
      <c r="E10" s="69">
        <f>'Anticipated Compliance'!BA11-BAU!AX11</f>
        <v>32.914530557732263</v>
      </c>
    </row>
    <row r="11" spans="1:5" x14ac:dyDescent="0.25">
      <c r="A11" s="7">
        <v>2029</v>
      </c>
      <c r="B11" s="68">
        <f>'Minimum Compliance'!AQ12-BAU!AV12</f>
        <v>26282.855280888914</v>
      </c>
      <c r="C11" s="4">
        <f>'Minimum Compliance'!AS12-BAU!AX12</f>
        <v>21.227399674424735</v>
      </c>
      <c r="D11" s="4">
        <f>'Anticipated Compliance'!AY12-BAU!AV12</f>
        <v>48365.461042068782</v>
      </c>
      <c r="E11" s="69">
        <f>'Anticipated Compliance'!BA12-BAU!AX12</f>
        <v>40.270276335505045</v>
      </c>
    </row>
    <row r="12" spans="1:5" x14ac:dyDescent="0.25">
      <c r="A12" s="7">
        <v>2030</v>
      </c>
      <c r="B12" s="68">
        <f>'Minimum Compliance'!AQ13-BAU!AV13</f>
        <v>33738.786359915714</v>
      </c>
      <c r="C12" s="4">
        <f>'Minimum Compliance'!AS13-BAU!AX13</f>
        <v>26.26328679746355</v>
      </c>
      <c r="D12" s="4">
        <f>'Anticipated Compliance'!AY13-BAU!AV13</f>
        <v>58892.355910928229</v>
      </c>
      <c r="E12" s="69">
        <f>'Anticipated Compliance'!BA13-BAU!AX13</f>
        <v>47.551442774416408</v>
      </c>
    </row>
    <row r="13" spans="1:5" x14ac:dyDescent="0.25">
      <c r="A13" s="7">
        <v>2031</v>
      </c>
      <c r="B13" s="68">
        <f>'Minimum Compliance'!AQ14-BAU!AV14</f>
        <v>41013.217462634027</v>
      </c>
      <c r="C13" s="4">
        <f>'Minimum Compliance'!AS14-BAU!AX14</f>
        <v>30.85907186313241</v>
      </c>
      <c r="D13" s="4">
        <f>'Anticipated Compliance'!AY14-BAU!AV14</f>
        <v>74119.974740643258</v>
      </c>
      <c r="E13" s="69">
        <f>'Anticipated Compliance'!BA14-BAU!AX14</f>
        <v>57.472115248204247</v>
      </c>
    </row>
    <row r="14" spans="1:5" x14ac:dyDescent="0.25">
      <c r="A14" s="7">
        <v>2032</v>
      </c>
      <c r="B14" s="68">
        <f>'Minimum Compliance'!AQ15-BAU!AV15</f>
        <v>49160.991597143133</v>
      </c>
      <c r="C14" s="4">
        <f>'Minimum Compliance'!AS15-BAU!AX15</f>
        <v>35.41251199516703</v>
      </c>
      <c r="D14" s="4">
        <f>'Anticipated Compliance'!AY15-BAU!AV15</f>
        <v>92426.205993702111</v>
      </c>
      <c r="E14" s="69">
        <f>'Anticipated Compliance'!BA15-BAU!AX15</f>
        <v>68.072516272960627</v>
      </c>
    </row>
    <row r="15" spans="1:5" x14ac:dyDescent="0.25">
      <c r="A15" s="7">
        <v>2033</v>
      </c>
      <c r="B15" s="68">
        <f>'Minimum Compliance'!AQ16-BAU!AV16</f>
        <v>57514.32349738112</v>
      </c>
      <c r="C15" s="4">
        <f>'Minimum Compliance'!AS16-BAU!AX16</f>
        <v>39.871736104294335</v>
      </c>
      <c r="D15" s="4">
        <f>'Anticipated Compliance'!AY16-BAU!AV16</f>
        <v>112038.62439934805</v>
      </c>
      <c r="E15" s="69">
        <f>'Anticipated Compliance'!BA16-BAU!AX16</f>
        <v>79.171034267903593</v>
      </c>
    </row>
    <row r="16" spans="1:5" x14ac:dyDescent="0.25">
      <c r="A16" s="7">
        <v>2034</v>
      </c>
      <c r="B16" s="68">
        <f>'Minimum Compliance'!AQ17-BAU!AV17</f>
        <v>66106.994452024723</v>
      </c>
      <c r="C16" s="4">
        <f>'Minimum Compliance'!AS17-BAU!AX17</f>
        <v>44.26860807639946</v>
      </c>
      <c r="D16" s="4">
        <f>'Anticipated Compliance'!AY17-BAU!AV17</f>
        <v>133070.62209532739</v>
      </c>
      <c r="E16" s="69">
        <f>'Anticipated Compliance'!BA17-BAU!AX17</f>
        <v>90.830302787026383</v>
      </c>
    </row>
    <row r="17" spans="1:5" ht="15.75" thickBot="1" x14ac:dyDescent="0.3">
      <c r="A17" s="7">
        <v>2035</v>
      </c>
      <c r="B17" s="70">
        <f>'Minimum Compliance'!AQ18-BAU!AV18</f>
        <v>74432.821865354548</v>
      </c>
      <c r="C17" s="16">
        <f>'Minimum Compliance'!AS18-BAU!AX18</f>
        <v>47.249119910024149</v>
      </c>
      <c r="D17" s="16">
        <f>'Anticipated Compliance'!AY18-BAU!AV18</f>
        <v>155013.89096436559</v>
      </c>
      <c r="E17" s="71">
        <f>'Anticipated Compliance'!BA18-BAU!AX18</f>
        <v>102.98080154920397</v>
      </c>
    </row>
  </sheetData>
  <sheetProtection algorithmName="SHA-512" hashValue="ZYJjwUhcu5DAteniPir13l8z6kU5SqV/ngNDiPxj1To6qV8TJwSYeAAkvny/BYZI1GF/+tKDGKUtDauQguKdlw==" saltValue="U4ECXF05NnIU5CXorFBHrg==" spinCount="100000" sheet="1" objects="1" scenarios="1"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B13BF-E3B2-42DE-BD83-DEC3555D7DC6}">
  <dimension ref="A1"/>
  <sheetViews>
    <sheetView zoomScale="30" zoomScaleNormal="30" workbookViewId="0"/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2F7547D43A3C45854C3236657F025F" ma:contentTypeVersion="8" ma:contentTypeDescription="Create a new document." ma:contentTypeScope="" ma:versionID="b4054dfc43023e6ffe2cb87c2cd6e5ad">
  <xsd:schema xmlns:xsd="http://www.w3.org/2001/XMLSchema" xmlns:xs="http://www.w3.org/2001/XMLSchema" xmlns:p="http://schemas.microsoft.com/office/2006/metadata/properties" xmlns:ns2="182a4cf5-f6d1-4ee1-8f26-e25159163b17" xmlns:ns3="93ffca16-c516-4e0c-aa3f-be54a0f0a22e" targetNamespace="http://schemas.microsoft.com/office/2006/metadata/properties" ma:root="true" ma:fieldsID="c248a29272248ba83d561bfe0e265b24" ns2:_="" ns3:_="">
    <xsd:import namespace="182a4cf5-f6d1-4ee1-8f26-e25159163b17"/>
    <xsd:import namespace="93ffca16-c516-4e0c-aa3f-be54a0f0a2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2a4cf5-f6d1-4ee1-8f26-e25159163b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fca16-c516-4e0c-aa3f-be54a0f0a22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5FE293-7C5F-4553-B776-E5B653986FC3}">
  <ds:schemaRefs>
    <ds:schemaRef ds:uri="http://purl.org/dc/dcmitype/"/>
    <ds:schemaRef ds:uri="93ffca16-c516-4e0c-aa3f-be54a0f0a22e"/>
    <ds:schemaRef ds:uri="182a4cf5-f6d1-4ee1-8f26-e25159163b17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D34BCAB-C7D3-47DD-A522-F114746662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E22817-2C3B-4E4A-A8EE-BB7794F761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2a4cf5-f6d1-4ee1-8f26-e25159163b17"/>
    <ds:schemaRef ds:uri="93ffca16-c516-4e0c-aa3f-be54a0f0a2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Constants</vt:lpstr>
      <vt:lpstr>Minimum Compliance</vt:lpstr>
      <vt:lpstr>Anticipated Compliance</vt:lpstr>
      <vt:lpstr>BAU</vt:lpstr>
      <vt:lpstr>Scenarios Minus BAU</vt:lpstr>
      <vt:lpstr>Graphics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NDEP</dc:creator>
  <cp:keywords/>
  <dc:description/>
  <cp:lastModifiedBy>Joseph Perreira</cp:lastModifiedBy>
  <cp:revision/>
  <dcterms:created xsi:type="dcterms:W3CDTF">2021-05-10T16:00:48Z</dcterms:created>
  <dcterms:modified xsi:type="dcterms:W3CDTF">2021-06-14T23:48:03Z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0x0101007C2F7547D43A3C45854C3236657F025F</vt:lpwstr>
  </property>
</Properties>
</file>